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4"/>
  <workbookPr/>
  <mc:AlternateContent xmlns:mc="http://schemas.openxmlformats.org/markup-compatibility/2006">
    <mc:Choice Requires="x15">
      <x15ac:absPath xmlns:x15ac="http://schemas.microsoft.com/office/spreadsheetml/2010/11/ac" url="C:\Users\v.servais\Downloads\"/>
    </mc:Choice>
  </mc:AlternateContent>
  <xr:revisionPtr revIDLastSave="0" documentId="13_ncr:1_{CB73BF13-3E4E-4173-9A1E-10F3DB1BE4D5}" xr6:coauthVersionLast="36" xr6:coauthVersionMax="36" xr10:uidLastSave="{00000000-0000-0000-0000-000000000000}"/>
  <workbookProtection workbookAlgorithmName="SHA-512" workbookHashValue="us3lsHl847ChvqeB/OdOTsrlu/DNhUeVc8EN+Lf9sfrG6OPp1RIHQBEQiivfzdArPUd4QmMtdWs9fRhgjqXx5Q==" workbookSaltValue="l+Gs1Lgcw38sVVfyHNOypg==" workbookSpinCount="100000" lockStructure="1"/>
  <bookViews>
    <workbookView xWindow="0" yWindow="0" windowWidth="28800" windowHeight="12225" xr2:uid="{00000000-000D-0000-FFFF-FFFF00000000}"/>
  </bookViews>
  <sheets>
    <sheet name="Calculette" sheetId="1" r:id="rId1"/>
    <sheet name="CF" sheetId="4" state="hidden" r:id="rId2"/>
    <sheet name="Mode d'emploi" sheetId="2" r:id="rId3"/>
    <sheet name="Annexe" sheetId="3" r:id="rId4"/>
  </sheets>
  <definedNames>
    <definedName name="_xlnm.Print_Area" localSheetId="0">Calculette!$A$1:$F$127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I5" i="4" l="1"/>
  <c r="EI7" i="4"/>
  <c r="EK8" i="4"/>
  <c r="EI9" i="4"/>
  <c r="EI14" i="4"/>
  <c r="EK14" i="4"/>
  <c r="EI16" i="4"/>
  <c r="EI18" i="4"/>
  <c r="EI20" i="4"/>
  <c r="EI22" i="4"/>
  <c r="EI25" i="4"/>
  <c r="EI27" i="4"/>
  <c r="EI29" i="4"/>
  <c r="EQ29" i="4"/>
  <c r="ER29" i="4"/>
  <c r="EI31" i="4"/>
  <c r="EQ31" i="4"/>
  <c r="ER31" i="4"/>
  <c r="EQ32" i="4"/>
  <c r="ER32" i="4"/>
  <c r="EQ34" i="4"/>
  <c r="ER34" i="4"/>
  <c r="EQ35" i="4"/>
  <c r="ER35" i="4"/>
  <c r="EQ36" i="4"/>
  <c r="ER36" i="4"/>
  <c r="EQ38" i="4"/>
  <c r="ER38" i="4"/>
  <c r="EQ39" i="4"/>
  <c r="ER39" i="4"/>
  <c r="EQ40" i="4"/>
  <c r="ER40" i="4"/>
  <c r="EN41" i="4"/>
  <c r="EN42" i="4"/>
  <c r="EN43" i="4"/>
  <c r="EN44" i="4"/>
  <c r="EN46" i="4"/>
  <c r="EI49" i="4"/>
  <c r="EJ49" i="4"/>
  <c r="EI51" i="4"/>
  <c r="EJ51" i="4"/>
  <c r="EI55" i="4"/>
  <c r="EJ55" i="4"/>
  <c r="EI57" i="4"/>
  <c r="EJ57" i="4"/>
  <c r="EI59" i="4"/>
  <c r="EJ59" i="4"/>
  <c r="EI61" i="4"/>
  <c r="EJ61" i="4"/>
  <c r="EI63" i="4"/>
  <c r="EJ63" i="4"/>
  <c r="EI67" i="4"/>
  <c r="EK67" i="4" s="1"/>
  <c r="EJ67" i="4"/>
  <c r="EI70" i="4"/>
  <c r="EJ70" i="4"/>
  <c r="EI72" i="4"/>
  <c r="EJ72" i="4"/>
  <c r="EI74" i="4"/>
  <c r="EJ74" i="4"/>
  <c r="EI76" i="4"/>
  <c r="EI77" i="4"/>
  <c r="EI79" i="4"/>
  <c r="EI80" i="4"/>
  <c r="EJ80" i="4"/>
  <c r="EN80" i="4"/>
  <c r="EI82" i="4"/>
  <c r="EJ82" i="4"/>
  <c r="EI84" i="4"/>
  <c r="EJ84" i="4"/>
  <c r="EI86" i="4"/>
  <c r="EJ86" i="4"/>
  <c r="EJ88" i="4"/>
  <c r="EK88" i="4"/>
  <c r="EL88" i="4"/>
  <c r="EM88" i="4"/>
  <c r="EJ91" i="4"/>
  <c r="EK91" i="4"/>
  <c r="EL91" i="4"/>
  <c r="EJ92" i="4"/>
  <c r="EK92" i="4"/>
  <c r="EL92" i="4"/>
  <c r="EJ93" i="4"/>
  <c r="EK93" i="4"/>
  <c r="EL93" i="4"/>
  <c r="EJ94" i="4"/>
  <c r="EK94" i="4"/>
  <c r="EL94" i="4"/>
  <c r="EJ96" i="4"/>
  <c r="EK96" i="4"/>
  <c r="EJ97" i="4"/>
  <c r="EK97" i="4"/>
  <c r="EP97" i="4"/>
  <c r="EJ98" i="4"/>
  <c r="EK98" i="4"/>
  <c r="EJ99" i="4"/>
  <c r="EK99" i="4"/>
  <c r="EL102" i="4"/>
  <c r="EO106" i="4"/>
  <c r="EP106" i="4"/>
  <c r="EQ106" i="4"/>
  <c r="EO108" i="4"/>
  <c r="EO109" i="4"/>
  <c r="EM89" i="4" l="1"/>
  <c r="EP88" i="4" s="1"/>
  <c r="EI10" i="4"/>
  <c r="ER41" i="4"/>
  <c r="EJ109" i="4" s="1"/>
  <c r="EJ31" i="4"/>
  <c r="EM92" i="4"/>
  <c r="EK63" i="4"/>
  <c r="EM93" i="4"/>
  <c r="EM91" i="4"/>
  <c r="EM94" i="4"/>
  <c r="EK51" i="4"/>
  <c r="EM98" i="4"/>
  <c r="EM96" i="4"/>
  <c r="EJ76" i="4"/>
  <c r="EM99" i="4"/>
  <c r="EM97" i="4"/>
  <c r="EK86" i="4"/>
  <c r="EO111" i="4"/>
  <c r="EJ112" i="4"/>
  <c r="D44" i="1"/>
  <c r="EJ111" i="4" l="1"/>
  <c r="ES41" i="4"/>
  <c r="ER42" i="4" s="1"/>
  <c r="EM108" i="4" s="1"/>
  <c r="EM90" i="4"/>
  <c r="EP90" i="4" s="1"/>
  <c r="EQ112" i="4"/>
  <c r="EK84" i="4"/>
  <c r="EP91" i="4"/>
  <c r="ER43" i="4" l="1"/>
  <c r="ER44" i="4" s="1"/>
  <c r="EJ106" i="4"/>
  <c r="EJ108" i="4" s="1"/>
  <c r="EP92" i="4"/>
  <c r="D89" i="1" s="1"/>
  <c r="A44" i="1" l="1"/>
  <c r="EJ113" i="4"/>
  <c r="C34" i="1"/>
  <c r="E34" i="1" s="1"/>
  <c r="D109" i="1" l="1"/>
  <c r="D111" i="1" s="1"/>
</calcChain>
</file>

<file path=xl/sharedStrings.xml><?xml version="1.0" encoding="utf-8"?>
<sst xmlns="http://schemas.openxmlformats.org/spreadsheetml/2006/main" count="274" uniqueCount="232">
  <si>
    <t>MON TEMPS DE TRAVAIL EN ELEVAGE ALLAITANT</t>
  </si>
  <si>
    <t>Nombre d'exploitants</t>
  </si>
  <si>
    <t>Part du travail quotidien réalisé par les bénévoles</t>
  </si>
  <si>
    <t>%</t>
  </si>
  <si>
    <t>Peu performants</t>
  </si>
  <si>
    <t>Au pis</t>
  </si>
  <si>
    <t>Intermédiaires</t>
  </si>
  <si>
    <t>Veuillez remplir toutes les cellules grises ci-dessus avant de continuer</t>
  </si>
  <si>
    <t>Efficaces</t>
  </si>
  <si>
    <t>Défavorable</t>
  </si>
  <si>
    <t>Sans aide</t>
  </si>
  <si>
    <t>Intermédaire</t>
  </si>
  <si>
    <t>Avec césarienne</t>
  </si>
  <si>
    <t>Favorable</t>
  </si>
  <si>
    <t>Mes bâtiments et mes équipements sont</t>
  </si>
  <si>
    <t>Oui</t>
  </si>
  <si>
    <t>J'élève mes veaux</t>
  </si>
  <si>
    <t>Niveau élevé (9h/semaine)</t>
  </si>
  <si>
    <t>Niveau élevé (500h/an)</t>
  </si>
  <si>
    <t>Naissance</t>
  </si>
  <si>
    <t>Niveau moyen (4h30/semaine)</t>
  </si>
  <si>
    <t>Niveau intermédiaire (200h/an)</t>
  </si>
  <si>
    <t>Niveau faible (2h/semaine)</t>
  </si>
  <si>
    <t>Niveau faible (50h/an)</t>
  </si>
  <si>
    <t>La reproduction passe principalement</t>
  </si>
  <si>
    <t>Insémination</t>
  </si>
  <si>
    <t>Tonte</t>
  </si>
  <si>
    <t>Références</t>
  </si>
  <si>
    <t>Travail d'astreinte (heure/VA)</t>
  </si>
  <si>
    <t xml:space="preserve">Ecornage </t>
  </si>
  <si>
    <t>Taille &lt;75 VA</t>
  </si>
  <si>
    <t>Veaux au pis</t>
  </si>
  <si>
    <t>Autre mode d'élevage</t>
  </si>
  <si>
    <t>Parage</t>
  </si>
  <si>
    <t xml:space="preserve">Bâtiments et équipements peu performants </t>
  </si>
  <si>
    <t>Pesée</t>
  </si>
  <si>
    <t>Prophylaxie</t>
  </si>
  <si>
    <t>Bâtiments et équipements efficaces</t>
  </si>
  <si>
    <t>Déplacements</t>
  </si>
  <si>
    <t>Taille &gt;75 et &lt;125</t>
  </si>
  <si>
    <t xml:space="preserve">Mon parcellaire est </t>
  </si>
  <si>
    <t>Ha de prairies paturées et/ou 1 à 2 coupes</t>
  </si>
  <si>
    <t>Intermédiaire</t>
  </si>
  <si>
    <t>Bâtiments et équipements intermédiaires</t>
  </si>
  <si>
    <t>Ha de prairies pâturées</t>
  </si>
  <si>
    <t>Ha de prairies avec 3 coupes</t>
  </si>
  <si>
    <t>Prairie</t>
  </si>
  <si>
    <t>La conduite des fumiers</t>
  </si>
  <si>
    <t>La fauche</t>
  </si>
  <si>
    <t>Fumier</t>
  </si>
  <si>
    <t>Fauche</t>
  </si>
  <si>
    <t>Taille &gt; 125</t>
  </si>
  <si>
    <t>L'épandage des engrais</t>
  </si>
  <si>
    <t>Le fanage</t>
  </si>
  <si>
    <t>Engrais</t>
  </si>
  <si>
    <t>Fanage</t>
  </si>
  <si>
    <t xml:space="preserve">Le travail du sol/semis </t>
  </si>
  <si>
    <t>L'andainage</t>
  </si>
  <si>
    <t>Travail sol/semi</t>
  </si>
  <si>
    <t>L'hersage/ébousage</t>
  </si>
  <si>
    <t>La récolte</t>
  </si>
  <si>
    <t>Hersage/ebousage</t>
  </si>
  <si>
    <t>Récolte</t>
  </si>
  <si>
    <t>Les phytosanitaires</t>
  </si>
  <si>
    <t>La fauche des refus</t>
  </si>
  <si>
    <t>Phyto</t>
  </si>
  <si>
    <t>Fauche des refus</t>
  </si>
  <si>
    <t>Ha de maïs</t>
  </si>
  <si>
    <t>Ha de céréales à paille pour le cheptel</t>
  </si>
  <si>
    <t xml:space="preserve">Le travail du sol </t>
  </si>
  <si>
    <t>Le déchaumage</t>
  </si>
  <si>
    <t>Les semis</t>
  </si>
  <si>
    <t>L'épandage de l'engrais</t>
  </si>
  <si>
    <t>La moisson</t>
  </si>
  <si>
    <t>Le travail du sol</t>
  </si>
  <si>
    <t>La paille</t>
  </si>
  <si>
    <t xml:space="preserve">L'administratif </t>
  </si>
  <si>
    <t>Administratif</t>
  </si>
  <si>
    <t>Autres</t>
  </si>
  <si>
    <t>Vert</t>
  </si>
  <si>
    <t>Rouge</t>
  </si>
  <si>
    <t>Couleur</t>
  </si>
  <si>
    <t>Valeur</t>
  </si>
  <si>
    <t>Aide bénévole (%)</t>
  </si>
  <si>
    <t>Par l'insémination</t>
  </si>
  <si>
    <t>Par le taureau</t>
  </si>
  <si>
    <t>Le nombre de vaches allaitantes (déjà vêlées) est</t>
  </si>
  <si>
    <t xml:space="preserve">La plupart des naissances (&gt;80%) se passent </t>
  </si>
  <si>
    <t>Bâtiments et bâtiments intermédiaires</t>
  </si>
  <si>
    <t>Heures d'astreinte totales</t>
  </si>
  <si>
    <t>Heures d'astreinte/ exploitants</t>
  </si>
  <si>
    <t>Orange</t>
  </si>
  <si>
    <t>Travail d'astreinte (heures)/jour/exploitant</t>
  </si>
  <si>
    <t>Idéal</t>
  </si>
  <si>
    <t>Maximum échantillon</t>
  </si>
  <si>
    <t>h/an</t>
  </si>
  <si>
    <t>h/semaine</t>
  </si>
  <si>
    <t>Le travail d'astreinte : résultats</t>
  </si>
  <si>
    <t>Andainage</t>
  </si>
  <si>
    <t>Maïs</t>
  </si>
  <si>
    <t xml:space="preserve">Déchaumage </t>
  </si>
  <si>
    <t>Prairies uniquement paturée</t>
  </si>
  <si>
    <t>Prairies paturée + 1/2 coupes</t>
  </si>
  <si>
    <t>Prairie 3 coupes</t>
  </si>
  <si>
    <t>Céréales à paille</t>
  </si>
  <si>
    <t>Semi</t>
  </si>
  <si>
    <t>Travail sol</t>
  </si>
  <si>
    <t>Moisson</t>
  </si>
  <si>
    <t>Paille</t>
  </si>
  <si>
    <t>TS Troupeau</t>
  </si>
  <si>
    <t>TS Superficies fourragères</t>
  </si>
  <si>
    <t>TS Cultures</t>
  </si>
  <si>
    <t xml:space="preserve">Temps administratif </t>
  </si>
  <si>
    <t>L'administratif</t>
  </si>
  <si>
    <t xml:space="preserve">Temps de travail total exploitant </t>
  </si>
  <si>
    <t>V</t>
  </si>
  <si>
    <t>Astreinte</t>
  </si>
  <si>
    <t>Saison (pas pris en charge par exploitant)</t>
  </si>
  <si>
    <t>Cultures</t>
  </si>
  <si>
    <t>Temps de travail bénévoles</t>
  </si>
  <si>
    <t>Temps de travail exploitant 1</t>
  </si>
  <si>
    <t xml:space="preserve">Travail total par exploitant </t>
  </si>
  <si>
    <t>MON TEMPS DE TRAVAIL EN ELEVAGE ALLAITANT : MODE D'EMPLOI</t>
  </si>
  <si>
    <t xml:space="preserve">Détermination de la main-d'œuvre présente sur l'exploitation </t>
  </si>
  <si>
    <t>Part du travail quotidien réalisé par les salariés</t>
  </si>
  <si>
    <t>Temps de travail salarié</t>
  </si>
  <si>
    <t>heures</t>
  </si>
  <si>
    <t>Travail total par exploitant/semaine</t>
  </si>
  <si>
    <t>Le travail de saison: résultats</t>
  </si>
  <si>
    <t>Le temps de travail total : résultats</t>
  </si>
  <si>
    <t>Temps de travail par exploitant sans administratif</t>
  </si>
  <si>
    <t>% travail de saison fait par entreprise</t>
  </si>
  <si>
    <t>Avantages</t>
  </si>
  <si>
    <t>Inconvénients</t>
  </si>
  <si>
    <t>Reproduction</t>
  </si>
  <si>
    <t xml:space="preserve">Elevage des veaux </t>
  </si>
  <si>
    <t>Pratique de travail</t>
  </si>
  <si>
    <t>Gain de temps</t>
  </si>
  <si>
    <t>Infécondité des vaches plus grandes</t>
  </si>
  <si>
    <t>Nécéssite de la place, du lien veau-mère</t>
  </si>
  <si>
    <t>1) Au pis</t>
  </si>
  <si>
    <t xml:space="preserve">2) Poudre de lait </t>
  </si>
  <si>
    <t>Composition homogène</t>
  </si>
  <si>
    <t>Veaux plus calmes</t>
  </si>
  <si>
    <t>Coût</t>
  </si>
  <si>
    <t>Naissances</t>
  </si>
  <si>
    <t>Evite de se relever la nuit (anticipation</t>
  </si>
  <si>
    <t>Moins de complications au vêlage</t>
  </si>
  <si>
    <t>Peut augmenter le nombre de vêlages/vache</t>
  </si>
  <si>
    <t>Requiert moins de disponibilité de l'éleveur</t>
  </si>
  <si>
    <t>Pas toujours possible</t>
  </si>
  <si>
    <t>Risques potentiels pour la vache</t>
  </si>
  <si>
    <t>2) Sans aide</t>
  </si>
  <si>
    <t xml:space="preserve">Coût </t>
  </si>
  <si>
    <t>Observation accrue du cheptel</t>
  </si>
  <si>
    <t>Sélection et amélioration génétique</t>
  </si>
  <si>
    <t xml:space="preserve">Gain de temps </t>
  </si>
  <si>
    <t>Risque d'accident pour l'éleveur</t>
  </si>
  <si>
    <t xml:space="preserve">Moins de diversité génétique </t>
  </si>
  <si>
    <t>Risque de tares dans le cheptel</t>
  </si>
  <si>
    <t>Limite les infections et ouvertures en box</t>
  </si>
  <si>
    <t xml:space="preserve">Eleveur </t>
  </si>
  <si>
    <t>Bévévoles</t>
  </si>
  <si>
    <t>Par un tiers</t>
  </si>
  <si>
    <t xml:space="preserve">Sur les prairies, qui prend en charge ? </t>
  </si>
  <si>
    <t>Eleveur</t>
  </si>
  <si>
    <t>Bénévoles</t>
  </si>
  <si>
    <t>Tiers</t>
  </si>
  <si>
    <t>Les bénévoles</t>
  </si>
  <si>
    <t>Un tiers</t>
  </si>
  <si>
    <t>La tonte des animaux</t>
  </si>
  <si>
    <t>L'écornage des animaux</t>
  </si>
  <si>
    <t>Le parage des animaux</t>
  </si>
  <si>
    <t>La pesée des animaux</t>
  </si>
  <si>
    <t xml:space="preserve">TS Troupeau </t>
  </si>
  <si>
    <t>Le salarié</t>
  </si>
  <si>
    <t xml:space="preserve">Le salarié </t>
  </si>
  <si>
    <t>Temps de travail des tiers</t>
  </si>
  <si>
    <t>Efficace sur les génisses</t>
  </si>
  <si>
    <t>1) Via césarienne</t>
  </si>
  <si>
    <t xml:space="preserve">1) Insémination </t>
  </si>
  <si>
    <t>2) Taureau</t>
  </si>
  <si>
    <t>Taux de réussite important</t>
  </si>
  <si>
    <t>Gourmand en temps</t>
  </si>
  <si>
    <t xml:space="preserve">Requiert un bon équipement </t>
  </si>
  <si>
    <t xml:space="preserve">Pas adapté en cas de bâtiments ouverts </t>
  </si>
  <si>
    <t>Bien-être des animaux</t>
  </si>
  <si>
    <t>Prévient l'apparition de gale (idéal</t>
  </si>
  <si>
    <t>Prévient les boiteries</t>
  </si>
  <si>
    <t>Coût élevé si intervention ponctuelle</t>
  </si>
  <si>
    <t>de problèmes initiaux</t>
  </si>
  <si>
    <t xml:space="preserve">Risque de fragiliser les membres si pas </t>
  </si>
  <si>
    <t>Plus-value marchande</t>
  </si>
  <si>
    <t>Cout de l'installation</t>
  </si>
  <si>
    <t xml:space="preserve">Gourmand en temps </t>
  </si>
  <si>
    <t>Attention, il est conseillé de ne pas avoir plus de  5h de travail d'astreinte par jour !</t>
  </si>
  <si>
    <t>Prudence à ne pas accroitre votre travail d'astreinte pour garder votre flexibilité !</t>
  </si>
  <si>
    <t>Votre travail d'astreinte permet une bonne marge de manœuvre sur l'exploitation!</t>
  </si>
  <si>
    <t>Les exploitants</t>
  </si>
  <si>
    <t>Non réalisé</t>
  </si>
  <si>
    <t xml:space="preserve">Attention, le bénévolat doit être envisagé avec prudence. Saurez-vous remplacer cette aide si elle se réduisait? </t>
  </si>
  <si>
    <t>jours (8h par jour)</t>
  </si>
  <si>
    <t>Travail de saison total</t>
  </si>
  <si>
    <t>Importance de la charge pour les exploitants</t>
  </si>
  <si>
    <t>Annexe!A3</t>
  </si>
  <si>
    <t>Annexe!A32</t>
  </si>
  <si>
    <t>Annexe!A23</t>
  </si>
  <si>
    <t>Annexe!A38</t>
  </si>
  <si>
    <t xml:space="preserve">L'encodage de vos données est incomplet. Le graphique est invalide. </t>
  </si>
  <si>
    <t>Sur le maïs, qui prend en charge ?</t>
  </si>
  <si>
    <t xml:space="preserve">Sur les céréales, qui prend en charge ? </t>
  </si>
  <si>
    <t xml:space="preserve">Quel est le système fourrager ? </t>
  </si>
  <si>
    <t>Quelles sont les cultures ?</t>
  </si>
  <si>
    <t>Qui prend en charge ?</t>
  </si>
  <si>
    <t>Quel est le système d'élevage ?</t>
  </si>
  <si>
    <t xml:space="preserve">Qui travaille sur l'exploitation ? </t>
  </si>
  <si>
    <t>Veuilliez remplir toutes les cellules grises ci-dessus avant de continuer</t>
  </si>
  <si>
    <r>
      <t xml:space="preserve">Attention, votre temps de travail est élevé ! * Quelques raisons possibles en cliquant </t>
    </r>
    <r>
      <rPr>
        <u/>
        <sz val="11"/>
        <color rgb="FFFF0000"/>
        <rFont val="Calibri"/>
        <family val="2"/>
        <scheme val="minor"/>
      </rPr>
      <t>ici</t>
    </r>
    <r>
      <rPr>
        <sz val="11"/>
        <color rgb="FFFF0000"/>
        <rFont val="Calibri"/>
        <family val="2"/>
        <scheme val="minor"/>
      </rPr>
      <t xml:space="preserve">. </t>
    </r>
  </si>
  <si>
    <r>
      <t>*</t>
    </r>
    <r>
      <rPr>
        <i/>
        <sz val="9"/>
        <color theme="1"/>
        <rFont val="Calibri Light"/>
        <family val="2"/>
        <scheme val="major"/>
      </rPr>
      <t xml:space="preserve"> toutes les activités de la ferme ne sont pas comptabilisées</t>
    </r>
  </si>
  <si>
    <t>TS SF</t>
  </si>
  <si>
    <r>
      <t xml:space="preserve">Le système fourrager et     </t>
    </r>
    <r>
      <rPr>
        <b/>
        <sz val="10"/>
        <color theme="7" tint="0.39997558519241921"/>
        <rFont val="Calibri Light"/>
        <family val="2"/>
        <scheme val="major"/>
      </rPr>
      <t>4</t>
    </r>
    <r>
      <rPr>
        <sz val="10"/>
        <color theme="1"/>
        <rFont val="Calibri Light"/>
        <family val="2"/>
        <scheme val="major"/>
      </rPr>
      <t xml:space="preserve">     les cultures</t>
    </r>
  </si>
  <si>
    <t>Précision du système d'élevage</t>
  </si>
  <si>
    <t>en Blanc Bleu Belge)</t>
  </si>
  <si>
    <t>Bonne présentation pour la vente</t>
  </si>
  <si>
    <t>ou pâturage-étable</t>
  </si>
  <si>
    <t>Plus de veaux par vache</t>
  </si>
  <si>
    <t xml:space="preserve"> possible via la prise de température)</t>
  </si>
  <si>
    <t>Limite le nombre de vêlages/vache</t>
  </si>
  <si>
    <t>Annexe!A43</t>
  </si>
  <si>
    <t>Annexe!A1</t>
  </si>
  <si>
    <t>Travail d'astreinte/exploitant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</si>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</sst>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&quot; h &quot;mm;@"/>
    <numFmt numFmtId="165" formatCode="0.0"/>
  </numFmts>
  <fonts count="39" x14ac:knownFonts="1">
    <font>
      <sz val="11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6"/>
      <color theme="1"/>
      <name val="Microsoft YaHei Light"/>
      <family val="2"/>
    </font>
    <font>
      <sz val="11"/>
      <name val="Calibri Light"/>
      <family val="2"/>
      <scheme val="major"/>
    </font>
    <font>
      <sz val="11"/>
      <color rgb="FFFF0000"/>
      <name val="Calibri"/>
      <family val="2"/>
      <scheme val="minor"/>
    </font>
    <font>
      <sz val="11"/>
      <color rgb="FFFF0000"/>
      <name val="Calibri Light"/>
      <family val="2"/>
      <scheme val="major"/>
    </font>
    <font>
      <b/>
      <sz val="11"/>
      <color theme="5" tint="-0.499984740745262"/>
      <name val="Calibri Light"/>
      <family val="2"/>
      <scheme val="major"/>
    </font>
    <font>
      <b/>
      <sz val="11"/>
      <color rgb="FFFF000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1"/>
      <color theme="4" tint="-0.24997711111789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1"/>
      <name val="Microsoft JhengHei Light"/>
      <family val="2"/>
    </font>
    <font>
      <b/>
      <sz val="11"/>
      <color theme="9" tint="0.39997558519241921"/>
      <name val="Calibri Light"/>
      <family val="2"/>
      <scheme val="major"/>
    </font>
    <font>
      <sz val="10"/>
      <name val="Microsoft JhengHei Light"/>
      <family val="2"/>
    </font>
    <font>
      <b/>
      <sz val="11"/>
      <color theme="7" tint="0.39997558519241921"/>
      <name val="Calibri"/>
      <family val="2"/>
      <scheme val="minor"/>
    </font>
    <font>
      <b/>
      <sz val="11"/>
      <color theme="3" tint="0.39997558519241921"/>
      <name val="Calibri Light"/>
      <family val="2"/>
      <scheme val="major"/>
    </font>
    <font>
      <b/>
      <sz val="11"/>
      <color theme="5" tint="-0.249977111117893"/>
      <name val="Calibri Light"/>
      <family val="2"/>
      <scheme val="major"/>
    </font>
    <font>
      <u/>
      <sz val="11"/>
      <color theme="1"/>
      <name val="Calibri Light"/>
      <family val="2"/>
      <scheme val="major"/>
    </font>
    <font>
      <sz val="10"/>
      <color theme="1"/>
      <name val="Calibri"/>
      <family val="2"/>
      <scheme val="minor"/>
    </font>
    <font>
      <sz val="11"/>
      <color rgb="FFFFFF00"/>
      <name val="Calibri Light"/>
      <family val="2"/>
      <scheme val="major"/>
    </font>
    <font>
      <sz val="11"/>
      <color theme="0"/>
      <name val="Calibri"/>
      <family val="2"/>
      <scheme val="minor"/>
    </font>
    <font>
      <sz val="11"/>
      <color theme="0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sz val="11"/>
      <name val="Calibri"/>
      <family val="2"/>
      <scheme val="minor"/>
    </font>
    <font>
      <b/>
      <sz val="11"/>
      <name val="Calibri Light"/>
      <family val="2"/>
      <scheme val="major"/>
    </font>
    <font>
      <b/>
      <sz val="16"/>
      <name val="Microsoft YaHei Light"/>
      <family val="2"/>
    </font>
    <font>
      <b/>
      <sz val="16"/>
      <name val="Calibri Light"/>
      <family val="2"/>
      <scheme val="major"/>
    </font>
    <font>
      <b/>
      <sz val="11"/>
      <name val="Calibri"/>
      <family val="2"/>
      <scheme val="minor"/>
    </font>
    <font>
      <b/>
      <sz val="8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u/>
      <sz val="11"/>
      <color theme="4" tint="0.79998168889431442"/>
      <name val="Calibri"/>
      <family val="2"/>
      <scheme val="minor"/>
    </font>
    <font>
      <b/>
      <sz val="10"/>
      <name val="Calibri Light"/>
      <family val="2"/>
      <scheme val="major"/>
    </font>
    <font>
      <b/>
      <sz val="9"/>
      <color theme="1"/>
      <name val="Calibri Light"/>
      <family val="2"/>
      <scheme val="major"/>
    </font>
    <font>
      <u/>
      <sz val="11"/>
      <color rgb="FFFF0000"/>
      <name val="Calibri"/>
      <family val="2"/>
      <scheme val="minor"/>
    </font>
    <font>
      <sz val="9"/>
      <color theme="1"/>
      <name val="Calibri Light"/>
      <family val="2"/>
      <scheme val="major"/>
    </font>
    <font>
      <i/>
      <sz val="9"/>
      <color theme="1"/>
      <name val="Calibri Light"/>
      <family val="2"/>
      <scheme val="major"/>
    </font>
    <font>
      <b/>
      <sz val="10"/>
      <color theme="7" tint="0.39997558519241921"/>
      <name val="Calibri Light"/>
      <family val="2"/>
      <scheme val="major"/>
    </font>
    <font>
      <b/>
      <sz val="11"/>
      <name val="Microsoft JhengHei Light"/>
      <family val="2"/>
    </font>
  </fonts>
  <fills count="1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theme="5" tint="-0.499984740745262"/>
      </left>
      <right style="thick">
        <color theme="5" tint="-0.499984740745262"/>
      </right>
      <top style="thick">
        <color theme="5" tint="-0.499984740745262"/>
      </top>
      <bottom style="thick">
        <color theme="5" tint="-0.499984740745262"/>
      </bottom>
      <diagonal/>
    </border>
    <border>
      <left/>
      <right style="thick">
        <color theme="5" tint="-0.499984740745262"/>
      </right>
      <top/>
      <bottom/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4506668294322"/>
      </top>
      <bottom style="thick">
        <color theme="9" tint="0.39994506668294322"/>
      </bottom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theme="7" tint="0.39994506668294322"/>
      </top>
      <bottom style="thick">
        <color theme="7" tint="0.39994506668294322"/>
      </bottom>
      <diagonal/>
    </border>
    <border>
      <left/>
      <right style="thick">
        <color theme="9" tint="0.39994506668294322"/>
      </right>
      <top/>
      <bottom/>
      <diagonal/>
    </border>
    <border>
      <left style="thick">
        <color theme="3" tint="0.39994506668294322"/>
      </left>
      <right style="thick">
        <color theme="3" tint="0.39994506668294322"/>
      </right>
      <top style="thick">
        <color theme="3" tint="0.39994506668294322"/>
      </top>
      <bottom style="thick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theme="7" tint="0.39991454817346722"/>
      </left>
      <right style="thick">
        <color theme="7" tint="0.39991454817346722"/>
      </right>
      <top style="thick">
        <color theme="7" tint="0.39991454817346722"/>
      </top>
      <bottom style="thick">
        <color theme="7" tint="0.39991454817346722"/>
      </bottom>
      <diagonal/>
    </border>
    <border>
      <left style="thick">
        <color theme="9" tint="0.39994506668294322"/>
      </left>
      <right/>
      <top style="thick">
        <color theme="9" tint="0.39994506668294322"/>
      </top>
      <bottom style="thick">
        <color theme="9" tint="0.3999450666829432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theme="9" tint="0.39991454817346722"/>
      </left>
      <right style="thick">
        <color theme="9" tint="0.39991454817346722"/>
      </right>
      <top style="thick">
        <color theme="9" tint="0.39991454817346722"/>
      </top>
      <bottom style="thick">
        <color theme="9" tint="0.39991454817346722"/>
      </bottom>
      <diagonal/>
    </border>
    <border>
      <left style="thick">
        <color theme="4" tint="0.39991454817346722"/>
      </left>
      <right style="thick">
        <color theme="4" tint="0.39991454817346722"/>
      </right>
      <top style="thick">
        <color theme="4" tint="0.39991454817346722"/>
      </top>
      <bottom style="thick">
        <color theme="4" tint="0.39991454817346722"/>
      </bottom>
      <diagonal/>
    </border>
  </borders>
  <cellStyleXfs count="2">
    <xf numFmtId="0" fontId="0" fillId="0" borderId="0"/>
    <xf numFmtId="0" fontId="30" fillId="0" borderId="0" applyNumberFormat="0" applyFill="0" applyBorder="0" applyAlignment="0" applyProtection="0"/>
  </cellStyleXfs>
  <cellXfs count="240">
    <xf numFmtId="0" fontId="0" fillId="0" borderId="0" xfId="0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2" xfId="0" applyBorder="1"/>
    <xf numFmtId="0" fontId="2" fillId="0" borderId="0" xfId="0" applyFont="1"/>
    <xf numFmtId="0" fontId="1" fillId="0" borderId="0" xfId="0" applyFont="1" applyAlignment="1">
      <alignment horizontal="center"/>
    </xf>
    <xf numFmtId="0" fontId="2" fillId="3" borderId="0" xfId="0" applyFont="1" applyFill="1" applyAlignment="1">
      <alignment horizontal="center"/>
    </xf>
    <xf numFmtId="0" fontId="0" fillId="3" borderId="0" xfId="0" applyFill="1"/>
    <xf numFmtId="0" fontId="2" fillId="4" borderId="0" xfId="0" applyFont="1" applyFill="1" applyAlignment="1">
      <alignment horizontal="center"/>
    </xf>
    <xf numFmtId="0" fontId="2" fillId="4" borderId="0" xfId="0" applyFont="1" applyFill="1"/>
    <xf numFmtId="0" fontId="0" fillId="4" borderId="0" xfId="0" applyFill="1"/>
    <xf numFmtId="0" fontId="1" fillId="4" borderId="0" xfId="0" applyFont="1" applyFill="1" applyAlignment="1">
      <alignment horizontal="center"/>
    </xf>
    <xf numFmtId="0" fontId="0" fillId="5" borderId="0" xfId="0" applyFill="1"/>
    <xf numFmtId="0" fontId="2" fillId="3" borderId="3" xfId="0" applyFont="1" applyFill="1" applyBorder="1"/>
    <xf numFmtId="0" fontId="1" fillId="3" borderId="0" xfId="0" applyFont="1" applyFill="1" applyAlignment="1">
      <alignment horizontal="center"/>
    </xf>
    <xf numFmtId="0" fontId="5" fillId="0" borderId="0" xfId="0" applyFont="1"/>
    <xf numFmtId="0" fontId="2" fillId="5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0" fillId="0" borderId="0" xfId="0" applyBorder="1"/>
    <xf numFmtId="0" fontId="2" fillId="0" borderId="0" xfId="0" applyFont="1" applyBorder="1" applyAlignment="1">
      <alignment horizontal="center"/>
    </xf>
    <xf numFmtId="0" fontId="6" fillId="0" borderId="0" xfId="0" applyFont="1"/>
    <xf numFmtId="0" fontId="1" fillId="5" borderId="0" xfId="0" applyFont="1" applyFill="1" applyAlignment="1">
      <alignment horizontal="center"/>
    </xf>
    <xf numFmtId="0" fontId="2" fillId="5" borderId="0" xfId="0" applyFont="1" applyFill="1"/>
    <xf numFmtId="0" fontId="2" fillId="9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Border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/>
    <xf numFmtId="0" fontId="13" fillId="0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2" fillId="11" borderId="0" xfId="0" applyFont="1" applyFill="1" applyAlignment="1">
      <alignment horizontal="center"/>
    </xf>
    <xf numFmtId="0" fontId="0" fillId="11" borderId="0" xfId="0" applyFill="1"/>
    <xf numFmtId="0" fontId="0" fillId="0" borderId="14" xfId="0" applyBorder="1"/>
    <xf numFmtId="0" fontId="2" fillId="0" borderId="0" xfId="0" applyFont="1" applyBorder="1"/>
    <xf numFmtId="1" fontId="1" fillId="0" borderId="0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3" xfId="0" applyFont="1" applyBorder="1"/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2" fillId="12" borderId="0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12" borderId="0" xfId="0" applyFill="1" applyBorder="1"/>
    <xf numFmtId="0" fontId="9" fillId="0" borderId="0" xfId="0" applyFont="1"/>
    <xf numFmtId="1" fontId="2" fillId="0" borderId="8" xfId="0" applyNumberFormat="1" applyFont="1" applyBorder="1" applyAlignment="1" applyProtection="1">
      <alignment horizontal="center"/>
      <protection locked="0"/>
    </xf>
    <xf numFmtId="0" fontId="2" fillId="0" borderId="10" xfId="0" applyFont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9" fillId="0" borderId="0" xfId="0" applyFont="1" applyBorder="1"/>
    <xf numFmtId="0" fontId="9" fillId="0" borderId="4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" fillId="0" borderId="1" xfId="0" applyFont="1" applyBorder="1"/>
    <xf numFmtId="0" fontId="2" fillId="0" borderId="14" xfId="0" applyFont="1" applyBorder="1"/>
    <xf numFmtId="0" fontId="9" fillId="0" borderId="3" xfId="0" applyFont="1" applyBorder="1"/>
    <xf numFmtId="0" fontId="9" fillId="0" borderId="4" xfId="0" applyFont="1" applyBorder="1"/>
    <xf numFmtId="0" fontId="9" fillId="0" borderId="14" xfId="0" applyFont="1" applyBorder="1"/>
    <xf numFmtId="0" fontId="9" fillId="0" borderId="2" xfId="0" applyFont="1" applyBorder="1"/>
    <xf numFmtId="0" fontId="9" fillId="0" borderId="1" xfId="0" applyFont="1" applyBorder="1"/>
    <xf numFmtId="0" fontId="8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1" fillId="0" borderId="0" xfId="0" applyFont="1"/>
    <xf numFmtId="165" fontId="2" fillId="0" borderId="8" xfId="0" applyNumberFormat="1" applyFont="1" applyBorder="1" applyAlignment="1" applyProtection="1">
      <alignment horizontal="center"/>
      <protection locked="0"/>
    </xf>
    <xf numFmtId="0" fontId="23" fillId="0" borderId="0" xfId="0" applyFont="1"/>
    <xf numFmtId="0" fontId="22" fillId="0" borderId="0" xfId="0" applyFont="1" applyAlignment="1">
      <alignment horizontal="center"/>
    </xf>
    <xf numFmtId="0" fontId="21" fillId="0" borderId="0" xfId="0" applyFont="1" applyBorder="1"/>
    <xf numFmtId="0" fontId="2" fillId="0" borderId="16" xfId="0" applyFont="1" applyBorder="1" applyAlignment="1" applyProtection="1">
      <alignment horizontal="center"/>
      <protection locked="0"/>
    </xf>
    <xf numFmtId="0" fontId="21" fillId="0" borderId="18" xfId="0" applyFont="1" applyBorder="1"/>
    <xf numFmtId="0" fontId="21" fillId="0" borderId="19" xfId="0" applyFont="1" applyBorder="1"/>
    <xf numFmtId="0" fontId="21" fillId="0" borderId="21" xfId="0" applyFont="1" applyBorder="1"/>
    <xf numFmtId="2" fontId="21" fillId="0" borderId="0" xfId="0" applyNumberFormat="1" applyFont="1" applyBorder="1"/>
    <xf numFmtId="164" fontId="21" fillId="0" borderId="0" xfId="0" applyNumberFormat="1" applyFont="1" applyBorder="1"/>
    <xf numFmtId="0" fontId="21" fillId="0" borderId="23" xfId="0" applyFont="1" applyBorder="1"/>
    <xf numFmtId="0" fontId="21" fillId="0" borderId="24" xfId="0" applyFont="1" applyBorder="1"/>
    <xf numFmtId="0" fontId="24" fillId="0" borderId="0" xfId="0" applyFont="1"/>
    <xf numFmtId="0" fontId="25" fillId="0" borderId="17" xfId="0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24" fillId="0" borderId="18" xfId="0" applyFont="1" applyBorder="1"/>
    <xf numFmtId="0" fontId="26" fillId="0" borderId="20" xfId="0" applyFont="1" applyBorder="1" applyAlignment="1">
      <alignment wrapText="1"/>
    </xf>
    <xf numFmtId="0" fontId="27" fillId="0" borderId="0" xfId="0" applyFont="1" applyBorder="1"/>
    <xf numFmtId="0" fontId="24" fillId="0" borderId="0" xfId="0" applyFont="1" applyBorder="1"/>
    <xf numFmtId="0" fontId="25" fillId="0" borderId="20" xfId="0" applyFont="1" applyBorder="1"/>
    <xf numFmtId="0" fontId="25" fillId="0" borderId="0" xfId="0" applyFont="1" applyBorder="1" applyAlignment="1">
      <alignment horizontal="center"/>
    </xf>
    <xf numFmtId="0" fontId="28" fillId="0" borderId="0" xfId="0" applyFont="1" applyBorder="1"/>
    <xf numFmtId="0" fontId="4" fillId="0" borderId="20" xfId="0" applyFont="1" applyBorder="1" applyAlignment="1">
      <alignment horizontal="center"/>
    </xf>
    <xf numFmtId="0" fontId="4" fillId="0" borderId="0" xfId="0" applyFont="1" applyBorder="1"/>
    <xf numFmtId="0" fontId="4" fillId="0" borderId="0" xfId="0" applyFont="1" applyFill="1" applyBorder="1"/>
    <xf numFmtId="0" fontId="24" fillId="0" borderId="0" xfId="0" applyFont="1" applyFill="1" applyBorder="1"/>
    <xf numFmtId="1" fontId="24" fillId="0" borderId="0" xfId="0" applyNumberFormat="1" applyFont="1" applyBorder="1"/>
    <xf numFmtId="0" fontId="24" fillId="0" borderId="20" xfId="0" applyFont="1" applyBorder="1"/>
    <xf numFmtId="0" fontId="24" fillId="0" borderId="0" xfId="0" applyFont="1" applyBorder="1" applyAlignment="1">
      <alignment horizontal="center"/>
    </xf>
    <xf numFmtId="164" fontId="24" fillId="0" borderId="0" xfId="0" applyNumberFormat="1" applyFont="1" applyFill="1" applyBorder="1"/>
    <xf numFmtId="0" fontId="24" fillId="0" borderId="2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4" fillId="0" borderId="22" xfId="0" applyFont="1" applyBorder="1"/>
    <xf numFmtId="0" fontId="24" fillId="0" borderId="23" xfId="0" applyFont="1" applyBorder="1"/>
    <xf numFmtId="0" fontId="4" fillId="0" borderId="2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8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4" fillId="0" borderId="0" xfId="0" applyFont="1"/>
    <xf numFmtId="0" fontId="25" fillId="0" borderId="0" xfId="0" applyFont="1"/>
    <xf numFmtId="1" fontId="24" fillId="0" borderId="0" xfId="0" applyNumberFormat="1" applyFont="1"/>
    <xf numFmtId="2" fontId="24" fillId="0" borderId="0" xfId="0" applyNumberFormat="1" applyFont="1"/>
    <xf numFmtId="0" fontId="29" fillId="0" borderId="0" xfId="0" applyFont="1" applyAlignment="1">
      <alignment horizontal="right"/>
    </xf>
    <xf numFmtId="0" fontId="24" fillId="13" borderId="0" xfId="0" applyFont="1" applyFill="1"/>
    <xf numFmtId="0" fontId="1" fillId="0" borderId="5" xfId="0" applyFont="1" applyBorder="1" applyAlignment="1">
      <alignment horizontal="center"/>
    </xf>
    <xf numFmtId="1" fontId="1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0" xfId="0" applyFill="1"/>
    <xf numFmtId="0" fontId="2" fillId="0" borderId="0" xfId="0" applyFont="1" applyFill="1" applyBorder="1"/>
    <xf numFmtId="0" fontId="1" fillId="11" borderId="0" xfId="0" applyFont="1" applyFill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2" fillId="5" borderId="0" xfId="0" applyFont="1" applyFill="1" applyBorder="1"/>
    <xf numFmtId="0" fontId="0" fillId="5" borderId="0" xfId="0" applyFill="1" applyBorder="1"/>
    <xf numFmtId="0" fontId="2" fillId="0" borderId="25" xfId="0" applyFont="1" applyBorder="1" applyAlignment="1" applyProtection="1">
      <alignment horizontal="center"/>
      <protection locked="0"/>
    </xf>
    <xf numFmtId="0" fontId="1" fillId="3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" fontId="2" fillId="0" borderId="26" xfId="0" applyNumberFormat="1" applyFont="1" applyBorder="1" applyAlignment="1" applyProtection="1">
      <alignment horizontal="center"/>
      <protection locked="0"/>
    </xf>
    <xf numFmtId="1" fontId="2" fillId="0" borderId="26" xfId="0" applyNumberFormat="1" applyFont="1" applyFill="1" applyBorder="1" applyAlignment="1" applyProtection="1">
      <alignment horizontal="center"/>
      <protection locked="0"/>
    </xf>
    <xf numFmtId="0" fontId="17" fillId="0" borderId="4" xfId="0" applyFont="1" applyBorder="1" applyAlignment="1">
      <alignment horizontal="center"/>
    </xf>
    <xf numFmtId="0" fontId="19" fillId="0" borderId="0" xfId="0" applyFont="1" applyBorder="1"/>
    <xf numFmtId="0" fontId="19" fillId="0" borderId="4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5" xfId="0" applyFont="1" applyBorder="1"/>
    <xf numFmtId="0" fontId="12" fillId="12" borderId="0" xfId="0" applyFont="1" applyFill="1" applyBorder="1" applyAlignment="1">
      <alignment horizontal="center"/>
    </xf>
    <xf numFmtId="0" fontId="31" fillId="3" borderId="0" xfId="1" applyFont="1" applyFill="1" applyAlignment="1">
      <alignment horizontal="right"/>
    </xf>
    <xf numFmtId="0" fontId="0" fillId="3" borderId="0" xfId="0" applyFill="1" applyAlignment="1">
      <alignment horizontal="right"/>
    </xf>
    <xf numFmtId="0" fontId="24" fillId="14" borderId="0" xfId="0" applyFont="1" applyFill="1" applyBorder="1"/>
    <xf numFmtId="0" fontId="31" fillId="3" borderId="0" xfId="1" applyFont="1" applyFill="1" applyAlignment="1">
      <alignment horizontal="center"/>
    </xf>
    <xf numFmtId="0" fontId="30" fillId="0" borderId="0" xfId="1"/>
    <xf numFmtId="0" fontId="2" fillId="0" borderId="11" xfId="0" applyNumberFormat="1" applyFont="1" applyBorder="1" applyAlignment="1" applyProtection="1">
      <alignment horizontal="center"/>
      <protection locked="0"/>
    </xf>
    <xf numFmtId="0" fontId="2" fillId="0" borderId="15" xfId="0" applyNumberFormat="1" applyFont="1" applyBorder="1" applyAlignment="1" applyProtection="1">
      <alignment horizontal="center"/>
      <protection locked="0"/>
    </xf>
    <xf numFmtId="0" fontId="2" fillId="0" borderId="0" xfId="0" applyFont="1" applyFill="1" applyAlignment="1">
      <alignment horizontal="center"/>
    </xf>
    <xf numFmtId="0" fontId="35" fillId="0" borderId="3" xfId="0" applyFont="1" applyBorder="1" applyAlignment="1">
      <alignment horizontal="left"/>
    </xf>
    <xf numFmtId="0" fontId="35" fillId="0" borderId="0" xfId="0" applyFont="1" applyBorder="1" applyAlignment="1">
      <alignment horizontal="left"/>
    </xf>
    <xf numFmtId="0" fontId="35" fillId="0" borderId="4" xfId="0" applyFont="1" applyBorder="1" applyAlignment="1">
      <alignment horizontal="left"/>
    </xf>
    <xf numFmtId="0" fontId="2" fillId="5" borderId="0" xfId="0" applyFont="1" applyFill="1" applyBorder="1" applyAlignment="1">
      <alignment horizontal="center"/>
    </xf>
    <xf numFmtId="0" fontId="32" fillId="0" borderId="3" xfId="0" applyFont="1" applyFill="1" applyBorder="1" applyAlignment="1">
      <alignment horizontal="center" wrapText="1"/>
    </xf>
    <xf numFmtId="0" fontId="32" fillId="0" borderId="0" xfId="0" applyFont="1" applyFill="1" applyBorder="1" applyAlignment="1">
      <alignment horizontal="center" wrapText="1"/>
    </xf>
    <xf numFmtId="0" fontId="32" fillId="0" borderId="4" xfId="0" applyFont="1" applyFill="1" applyBorder="1" applyAlignment="1">
      <alignment horizontal="center" wrapText="1"/>
    </xf>
    <xf numFmtId="0" fontId="32" fillId="0" borderId="5" xfId="0" applyFont="1" applyFill="1" applyBorder="1" applyAlignment="1">
      <alignment horizontal="center" wrapText="1"/>
    </xf>
    <xf numFmtId="0" fontId="32" fillId="0" borderId="6" xfId="0" applyFont="1" applyFill="1" applyBorder="1" applyAlignment="1">
      <alignment horizontal="center" wrapText="1"/>
    </xf>
    <xf numFmtId="0" fontId="32" fillId="0" borderId="7" xfId="0" applyFont="1" applyFill="1" applyBorder="1" applyAlignment="1">
      <alignment horizontal="center" wrapText="1"/>
    </xf>
    <xf numFmtId="0" fontId="2" fillId="5" borderId="0" xfId="0" applyFont="1" applyFill="1" applyBorder="1" applyAlignment="1"/>
    <xf numFmtId="0" fontId="2" fillId="5" borderId="12" xfId="0" applyFont="1" applyFill="1" applyBorder="1" applyAlignment="1"/>
    <xf numFmtId="0" fontId="33" fillId="0" borderId="3" xfId="0" applyFont="1" applyBorder="1" applyAlignment="1">
      <alignment horizontal="center" wrapText="1"/>
    </xf>
    <xf numFmtId="0" fontId="33" fillId="0" borderId="0" xfId="0" applyFont="1" applyBorder="1" applyAlignment="1">
      <alignment horizontal="center" wrapText="1"/>
    </xf>
    <xf numFmtId="0" fontId="33" fillId="0" borderId="4" xfId="0" applyFont="1" applyBorder="1" applyAlignment="1">
      <alignment horizontal="center" wrapText="1"/>
    </xf>
    <xf numFmtId="0" fontId="33" fillId="0" borderId="5" xfId="0" applyFont="1" applyBorder="1" applyAlignment="1">
      <alignment horizontal="center" wrapText="1"/>
    </xf>
    <xf numFmtId="0" fontId="33" fillId="0" borderId="6" xfId="0" applyFont="1" applyBorder="1" applyAlignment="1">
      <alignment horizontal="center" wrapText="1"/>
    </xf>
    <xf numFmtId="0" fontId="33" fillId="0" borderId="7" xfId="0" applyFont="1" applyBorder="1" applyAlignment="1">
      <alignment horizontal="center" wrapText="1"/>
    </xf>
    <xf numFmtId="0" fontId="1" fillId="6" borderId="0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2" fillId="9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3" fillId="0" borderId="0" xfId="0" applyFont="1" applyAlignment="1">
      <alignment horizontal="center" wrapText="1"/>
    </xf>
    <xf numFmtId="0" fontId="1" fillId="8" borderId="0" xfId="0" applyFont="1" applyFill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8" borderId="0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11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2" fillId="0" borderId="6" xfId="0" applyFont="1" applyBorder="1" applyAlignment="1">
      <alignment horizontal="right"/>
    </xf>
    <xf numFmtId="0" fontId="2" fillId="0" borderId="0" xfId="0" applyFont="1" applyAlignment="1">
      <alignment horizontal="center"/>
    </xf>
    <xf numFmtId="0" fontId="38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14" fillId="12" borderId="0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4" xfId="0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</cellXfs>
  <cellStyles count="2">
    <cellStyle name="Lien hypertexte" xfId="1" builtinId="8"/>
    <cellStyle name="Normal" xfId="0" builtinId="0"/>
  </cellStyles>
  <dxfs count="8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rgb="FFF88680"/>
      </font>
    </dxf>
    <dxf>
      <font>
        <color rgb="FFF29E6A"/>
      </font>
    </dxf>
    <dxf>
      <font>
        <color rgb="FF91C36F"/>
      </font>
    </dxf>
    <dxf>
      <font>
        <color rgb="FFC0000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fgColor indexed="64"/>
          <bgColor auto="1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</dxf>
    <dxf>
      <font>
        <color rgb="FFF88680"/>
      </font>
    </dxf>
    <dxf>
      <font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colors>
    <mruColors>
      <color rgb="FFF88680"/>
      <color rgb="FF91C36F"/>
      <color rgb="FFF29E6A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535987256872995"/>
          <c:y val="7.0566994609312775E-2"/>
          <c:w val="0.71389285714285711"/>
          <c:h val="0.658798888888888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CF!$EJ$4</c:f>
              <c:strCache>
                <c:ptCount val="1"/>
                <c:pt idx="0">
                  <c:v>Vert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solidFill>
                <a:srgbClr val="70AD47">
                  <a:lumMod val="40000"/>
                  <a:lumOff val="60000"/>
                </a:srgbClr>
              </a:solidFill>
            </a:ln>
          </c:spPr>
          <c:invertIfNegative val="0"/>
          <c:cat>
            <c:strRef>
              <c:f>CF!$EP$43</c:f>
              <c:strCache>
                <c:ptCount val="1"/>
                <c:pt idx="0">
                  <c:v>Travail d'astreinte (heures)/jour/exploitant</c:v>
                </c:pt>
              </c:strCache>
            </c:strRef>
          </c:cat>
          <c:val>
            <c:numRef>
              <c:f>CF!$EN$41</c:f>
              <c:numCache>
                <c:formatCode>h" h "mm;@</c:formatCode>
                <c:ptCount val="1"/>
                <c:pt idx="0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2-44B5-A27F-0B4C8C86D86D}"/>
            </c:ext>
          </c:extLst>
        </c:ser>
        <c:ser>
          <c:idx val="2"/>
          <c:order val="2"/>
          <c:tx>
            <c:strRef>
              <c:f>CF!$EJ$6</c:f>
              <c:strCache>
                <c:ptCount val="1"/>
                <c:pt idx="0">
                  <c:v>Orange</c:v>
                </c:pt>
              </c:strCache>
            </c:strRef>
          </c:tx>
          <c:spPr>
            <a:solidFill>
              <a:srgbClr val="ED7D31">
                <a:lumMod val="60000"/>
                <a:lumOff val="40000"/>
              </a:srgbClr>
            </a:solidFill>
          </c:spPr>
          <c:invertIfNegative val="0"/>
          <c:cat>
            <c:strRef>
              <c:f>CF!$EP$43</c:f>
              <c:strCache>
                <c:ptCount val="1"/>
                <c:pt idx="0">
                  <c:v>Travail d'astreinte (heures)/jour/exploitant</c:v>
                </c:pt>
              </c:strCache>
            </c:strRef>
          </c:cat>
          <c:val>
            <c:numRef>
              <c:f>CF!$EN$43</c:f>
              <c:numCache>
                <c:formatCode>h" h "mm;@</c:formatCode>
                <c:ptCount val="1"/>
                <c:pt idx="0">
                  <c:v>4.1666666666666664E-2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92-44B5-A27F-0B4C8C86D86D}"/>
            </c:ext>
          </c:extLst>
        </c:ser>
        <c:ser>
          <c:idx val="5"/>
          <c:order val="4"/>
          <c:tx>
            <c:strRef>
              <c:f>CF!$EM$44</c:f>
              <c:strCache>
                <c:ptCount val="1"/>
                <c:pt idx="0">
                  <c:v>Maximum échantillon</c:v>
                </c:pt>
              </c:strCache>
            </c:strRef>
          </c:tx>
          <c:spPr>
            <a:solidFill>
              <a:srgbClr val="F88680"/>
            </a:solidFill>
            <a:ln w="19050">
              <a:noFill/>
            </a:ln>
          </c:spPr>
          <c:invertIfNegative val="0"/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CF!$EN$44</c:f>
              <c:numCache>
                <c:formatCode>h" h "mm;@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92-44B5-A27F-0B4C8C86D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1852976"/>
        <c:axId val="185186712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CF!$EJ$5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rgbClr val="FFC000">
                      <a:lumMod val="40000"/>
                      <a:lumOff val="60000"/>
                    </a:srgbClr>
                  </a:solidFill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CF!$EP$43</c15:sqref>
                        </c15:formulaRef>
                      </c:ext>
                    </c:extLst>
                    <c:strCache>
                      <c:ptCount val="1"/>
                      <c:pt idx="0">
                        <c:v>Travail d'astreinte (heures)/jour/exploitant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CF!$EN$42</c15:sqref>
                        </c15:formulaRef>
                      </c:ext>
                    </c:extLst>
                    <c:numCache>
                      <c:formatCode>h" h "mm;@</c:formatCode>
                      <c:ptCount val="1"/>
                      <c:pt idx="0">
                        <c:v>4.1666666666666664E-2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992-44B5-A27F-0B4C8C86D86D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3"/>
          <c:order val="3"/>
          <c:tx>
            <c:strRef>
              <c:f>CF!$EJ$8</c:f>
              <c:strCache>
                <c:ptCount val="1"/>
                <c:pt idx="0">
                  <c:v>Valeur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8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0"/>
              <c:layout>
                <c:manualLayout>
                  <c:x val="4.952328959425998E-2"/>
                  <c:y val="-6.4675178792741559E-17"/>
                </c:manualLayout>
              </c:layout>
              <c:tx>
                <c:rich>
                  <a:bodyPr/>
                  <a:lstStyle/>
                  <a:p>
                    <a:fld id="{BA9D6789-D541-4795-B125-11A4529B9FC2}" type="YVALUE">
                      <a:rPr lang="en-US">
                        <a:latin typeface="+mj-lt"/>
                      </a:rPr>
                      <a:pPr/>
                      <a:t>[VALEUR Y]</a:t>
                    </a:fld>
                    <a:endParaRPr lang="fr-BE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18F1-49B8-B032-5589E88061A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borderCallout1">
                    <a:avLst/>
                  </a:prstGeom>
                </c15:spPr>
                <c15:showLeaderLines val="1"/>
              </c:ext>
            </c:extLst>
          </c:dLbls>
          <c:xVal>
            <c:strRef>
              <c:f>CF!$EK$3</c:f>
              <c:strCache>
                <c:ptCount val="1"/>
                <c:pt idx="0">
                  <c:v>Aide bénévole (%)</c:v>
                </c:pt>
              </c:strCache>
            </c:strRef>
          </c:xVal>
          <c:yVal>
            <c:numRef>
              <c:f>CF!$ER$44</c:f>
              <c:numCache>
                <c:formatCode>h" h "mm;@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992-44B5-A27F-0B4C8C86D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1852976"/>
        <c:axId val="1851867120"/>
      </c:scatterChart>
      <c:catAx>
        <c:axId val="1851852976"/>
        <c:scaling>
          <c:orientation val="minMax"/>
        </c:scaling>
        <c:delete val="0"/>
        <c:axPos val="b"/>
        <c:numFmt formatCode="0.00%" sourceLinked="0"/>
        <c:majorTickMark val="none"/>
        <c:minorTickMark val="none"/>
        <c:tickLblPos val="nextTo"/>
        <c:spPr>
          <a:ln>
            <a:noFill/>
          </a:ln>
        </c:spPr>
        <c:txPr>
          <a:bodyPr anchor="b" anchorCtr="1"/>
          <a:lstStyle/>
          <a:p>
            <a:pPr>
              <a:defRPr sz="1050" b="0">
                <a:latin typeface="+mj-lt"/>
              </a:defRPr>
            </a:pPr>
            <a:endParaRPr lang="fr-FR"/>
          </a:p>
        </c:txPr>
        <c:crossAx val="1851867120"/>
        <c:crosses val="autoZero"/>
        <c:auto val="1"/>
        <c:lblAlgn val="ctr"/>
        <c:lblOffset val="0"/>
        <c:noMultiLvlLbl val="0"/>
      </c:catAx>
      <c:valAx>
        <c:axId val="1851867120"/>
        <c:scaling>
          <c:orientation val="minMax"/>
          <c:max val="0.41700000000000004"/>
          <c:min val="0"/>
        </c:scaling>
        <c:delete val="1"/>
        <c:axPos val="l"/>
        <c:majorGridlines>
          <c:spPr>
            <a:ln>
              <a:noFill/>
            </a:ln>
          </c:spPr>
        </c:majorGridlines>
        <c:numFmt formatCode="h&quot; h &quot;mm;@" sourceLinked="0"/>
        <c:majorTickMark val="out"/>
        <c:minorTickMark val="none"/>
        <c:tickLblPos val="nextTo"/>
        <c:crossAx val="1851852976"/>
        <c:crosses val="autoZero"/>
        <c:crossBetween val="between"/>
        <c:majorUnit val="8.3600000000000022E-2"/>
        <c:minorUnit val="3.0000000000000006E-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CDB-4E78-8809-2B32D30FF2E8}"/>
              </c:ext>
            </c:extLst>
          </c:dPt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CDB-4E78-8809-2B32D30FF2E8}"/>
              </c:ext>
            </c:extLst>
          </c:dPt>
          <c:dPt>
            <c:idx val="2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842-4F4B-AF76-12B528816F56}"/>
              </c:ext>
            </c:extLst>
          </c:dPt>
          <c:dLbls>
            <c:dLbl>
              <c:idx val="0"/>
              <c:layout>
                <c:manualLayout>
                  <c:x val="2.6153085515473358E-2"/>
                  <c:y val="-0.10751460039889087"/>
                </c:manualLayout>
              </c:layout>
              <c:tx>
                <c:rich>
                  <a:bodyPr/>
                  <a:lstStyle/>
                  <a:p>
                    <a:fld id="{32E83EB3-3C7B-4BB1-98F7-63B18D227C37}" type="VALUE">
                      <a:rPr lang="en-US"/>
                      <a:pPr/>
                      <a:t>[VALEUR]</a:t>
                    </a:fld>
                    <a:r>
                      <a:rPr lang="en-US"/>
                      <a:t> jours</a:t>
                    </a:r>
                    <a:r>
                      <a:rPr lang="en-US" baseline="0"/>
                      <a:t>-  </a:t>
                    </a:r>
                    <a:fld id="{7CCCFB96-6D12-4E41-963F-6952A3871376}" type="PERCENTAGE">
                      <a:rPr lang="en-US" baseline="0"/>
                      <a:pPr/>
                      <a:t>[POURCENTAGE]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CDB-4E78-8809-2B32D30FF2E8}"/>
                </c:ext>
              </c:extLst>
            </c:dLbl>
            <c:dLbl>
              <c:idx val="1"/>
              <c:layout>
                <c:manualLayout>
                  <c:x val="-4.2710980894830004E-2"/>
                  <c:y val="1.0851702446353566E-2"/>
                </c:manualLayout>
              </c:layout>
              <c:tx>
                <c:rich>
                  <a:bodyPr/>
                  <a:lstStyle/>
                  <a:p>
                    <a:fld id="{42F0D599-BC9F-4A1D-AF02-1F8EBC059A42}" type="VALUE">
                      <a:rPr lang="en-US"/>
                      <a:pPr/>
                      <a:t>[VALEUR]</a:t>
                    </a:fld>
                    <a:r>
                      <a:rPr lang="en-US" baseline="0"/>
                      <a:t> jours- </a:t>
                    </a:r>
                    <a:fld id="{C8D31266-A03B-4981-8F45-C9650CE17BCE}" type="PERCENTAGE">
                      <a:rPr lang="en-US" baseline="0"/>
                      <a:pPr/>
                      <a:t>[POURCENTAGE]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CCDB-4E78-8809-2B32D30FF2E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1C84216-454E-421D-A5D6-05854B8A5E96}" type="VALUE">
                      <a:rPr lang="en-US"/>
                      <a:pPr/>
                      <a:t>[VALEUR]</a:t>
                    </a:fld>
                    <a:r>
                      <a:rPr lang="en-US" baseline="0"/>
                      <a:t> jours- </a:t>
                    </a:r>
                    <a:fld id="{76A28A07-E361-4805-A4D2-D1CF65E7DC0F}" type="PERCENTAGE">
                      <a:rPr lang="en-US" baseline="0"/>
                      <a:pPr/>
                      <a:t>[POURCENTAGE]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8842-4F4B-AF76-12B528816F5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CF!$EN$88:$EN$91</c15:sqref>
                  </c15:fullRef>
                </c:ext>
              </c:extLst>
              <c:f>(CF!$EN$88,CF!$EN$90:$EN$91)</c:f>
              <c:strCache>
                <c:ptCount val="3"/>
                <c:pt idx="0">
                  <c:v>TS Troupeau </c:v>
                </c:pt>
                <c:pt idx="1">
                  <c:v>TS Superficies fourragères</c:v>
                </c:pt>
                <c:pt idx="2">
                  <c:v>TS Cultures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CF!$EP$88:$EP$91</c15:sqref>
                  </c15:fullRef>
                </c:ext>
              </c:extLst>
              <c:f>(CF!$EP$88,CF!$EP$90:$EP$91)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CCDB-4E78-8809-2B32D30FF2E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0171931805208176E-3"/>
          <c:y val="0.84180691054394641"/>
          <c:w val="0.98660003681738395"/>
          <c:h val="0.15691045552956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CF!$EJ$4</c:f>
              <c:strCache>
                <c:ptCount val="1"/>
                <c:pt idx="0">
                  <c:v>Vert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cat>
            <c:strRef>
              <c:f>CF!$EK$3</c:f>
              <c:strCache>
                <c:ptCount val="1"/>
                <c:pt idx="0">
                  <c:v>Aide bénévole (%)</c:v>
                </c:pt>
              </c:strCache>
            </c:strRef>
          </c:cat>
          <c:val>
            <c:numRef>
              <c:f>CF!$EK$4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26-48AD-AE39-3CF96D664269}"/>
            </c:ext>
          </c:extLst>
        </c:ser>
        <c:ser>
          <c:idx val="2"/>
          <c:order val="2"/>
          <c:tx>
            <c:strRef>
              <c:f>CF!$EJ$6</c:f>
              <c:strCache>
                <c:ptCount val="1"/>
                <c:pt idx="0">
                  <c:v>Orange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strRef>
              <c:f>CF!$EK$3</c:f>
              <c:strCache>
                <c:ptCount val="1"/>
                <c:pt idx="0">
                  <c:v>Aide bénévole (%)</c:v>
                </c:pt>
              </c:strCache>
            </c:strRef>
          </c:cat>
          <c:val>
            <c:numRef>
              <c:f>CF!$EK$6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26-48AD-AE39-3CF96D664269}"/>
            </c:ext>
          </c:extLst>
        </c:ser>
        <c:ser>
          <c:idx val="4"/>
          <c:order val="4"/>
          <c:tx>
            <c:strRef>
              <c:f>CF!$EJ$7</c:f>
              <c:strCache>
                <c:ptCount val="1"/>
                <c:pt idx="0">
                  <c:v>Rouge</c:v>
                </c:pt>
              </c:strCache>
            </c:strRef>
          </c:tx>
          <c:spPr>
            <a:solidFill>
              <a:srgbClr val="F88680"/>
            </a:solidFill>
            <a:ln w="19050">
              <a:noFill/>
            </a:ln>
          </c:spPr>
          <c:invertIfNegative val="0"/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CF!$EK$7</c:f>
              <c:numCache>
                <c:formatCode>General</c:formatCode>
                <c:ptCount val="1"/>
                <c:pt idx="0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6E26-48AD-AE39-3CF96D664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51852976"/>
        <c:axId val="185186712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CF!$EJ$5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>
                      <a:lumMod val="40000"/>
                      <a:lumOff val="60000"/>
                    </a:schemeClr>
                  </a:solidFill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CF!$EK$3</c15:sqref>
                        </c15:formulaRef>
                      </c:ext>
                    </c:extLst>
                    <c:strCache>
                      <c:ptCount val="1"/>
                      <c:pt idx="0">
                        <c:v>Aide bénévole (%)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CF!$EK$5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E26-48AD-AE39-3CF96D664269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3"/>
          <c:order val="3"/>
          <c:tx>
            <c:strRef>
              <c:f>CF!$EJ$8</c:f>
              <c:strCache>
                <c:ptCount val="1"/>
                <c:pt idx="0">
                  <c:v>Valeur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ymbol val="diamond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06-6E26-48AD-AE39-3CF96D664269}"/>
              </c:ext>
            </c:extLst>
          </c:dPt>
          <c:dLbls>
            <c:dLbl>
              <c:idx val="0"/>
              <c:layout>
                <c:manualLayout>
                  <c:x val="4.4444444444444342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26-48AD-AE39-3CF96D664269}"/>
                </c:ext>
              </c:extLst>
            </c:dLbl>
            <c:numFmt formatCode="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/>
              <a:lstStyle/>
              <a:p>
                <a:pPr>
                  <a:defRPr sz="900">
                    <a:latin typeface="+mj-lt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borderCallout2">
                    <a:avLst/>
                  </a:prstGeom>
                </c15:spPr>
                <c15:showLeaderLines val="1"/>
              </c:ext>
            </c:extLst>
          </c:dLbls>
          <c:xVal>
            <c:strRef>
              <c:f>CF!$EK$3</c:f>
              <c:strCache>
                <c:ptCount val="1"/>
                <c:pt idx="0">
                  <c:v>Aide bénévole (%)</c:v>
                </c:pt>
              </c:strCache>
            </c:strRef>
          </c:xVal>
          <c:yVal>
            <c:numRef>
              <c:f>CF!$EK$8</c:f>
              <c:numCache>
                <c:formatCode>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E26-48AD-AE39-3CF96D664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1852976"/>
        <c:axId val="1851867120"/>
      </c:scatterChart>
      <c:catAx>
        <c:axId val="1851852976"/>
        <c:scaling>
          <c:orientation val="minMax"/>
        </c:scaling>
        <c:delete val="0"/>
        <c:axPos val="b"/>
        <c:numFmt formatCode="0.00%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>
                <a:latin typeface="+mj-lt"/>
              </a:defRPr>
            </a:pPr>
            <a:endParaRPr lang="fr-FR"/>
          </a:p>
        </c:txPr>
        <c:crossAx val="1851867120"/>
        <c:crosses val="autoZero"/>
        <c:auto val="1"/>
        <c:lblAlgn val="ctr"/>
        <c:lblOffset val="100"/>
        <c:noMultiLvlLbl val="0"/>
      </c:catAx>
      <c:valAx>
        <c:axId val="1851867120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0%" sourceLinked="1"/>
        <c:majorTickMark val="out"/>
        <c:minorTickMark val="none"/>
        <c:tickLblPos val="nextTo"/>
        <c:crossAx val="1851852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b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fr-BE" sz="1100">
                <a:latin typeface="+mj-lt"/>
              </a:rPr>
              <a:t>Répartition</a:t>
            </a:r>
            <a:r>
              <a:rPr lang="fr-BE" sz="1100" baseline="0">
                <a:latin typeface="+mj-lt"/>
              </a:rPr>
              <a:t> du temps de travail sur l'exploitation</a:t>
            </a:r>
            <a:endParaRPr lang="fr-BE" sz="1100">
              <a:latin typeface="+mj-lt"/>
            </a:endParaRPr>
          </a:p>
        </c:rich>
      </c:tx>
      <c:layout>
        <c:manualLayout>
          <c:xMode val="edge"/>
          <c:yMode val="edge"/>
          <c:x val="1.8064647455823611E-2"/>
          <c:y val="1.9483615161781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b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3.7750468987327424E-2"/>
          <c:y val="0.19491510695554021"/>
          <c:w val="0.92550789456340887"/>
          <c:h val="0.33078775648227093"/>
        </c:manualLayout>
      </c:layout>
      <c:barChart>
        <c:barDir val="bar"/>
        <c:grouping val="percentStacked"/>
        <c:varyColors val="0"/>
        <c:ser>
          <c:idx val="0"/>
          <c:order val="0"/>
          <c:tx>
            <c:v>Temps de travail exploitant(s)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F85-46FA-9526-2AEA80BEFD40}"/>
              </c:ext>
            </c:extLst>
          </c:dPt>
          <c:dLbls>
            <c:dLbl>
              <c:idx val="0"/>
              <c:layout>
                <c:manualLayout>
                  <c:x val="-6.8876586714989949E-3"/>
                  <c:y val="-0.1412562099229131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t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j-lt"/>
                        <a:ea typeface="+mn-ea"/>
                        <a:cs typeface="+mn-cs"/>
                      </a:defRPr>
                    </a:pPr>
                    <a:fld id="{6797FE09-9EE5-4568-A8C3-C7F0A8DCEA3B}" type="VALUE">
                      <a:rPr lang="en-US">
                        <a:latin typeface="+mj-lt"/>
                      </a:rPr>
                      <a:pPr>
                        <a:defRPr>
                          <a:latin typeface="+mj-lt"/>
                        </a:defRPr>
                      </a:pPr>
                      <a:t>[VALEUR]</a:t>
                    </a:fld>
                    <a:r>
                      <a:rPr lang="en-US">
                        <a:latin typeface="+mj-lt"/>
                      </a:rPr>
                      <a:t> heures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t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j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F85-46FA-9526-2AEA80BEFD4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t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ightArrow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CF!$EJ$106</c:f>
              <c:numCache>
                <c:formatCode>0</c:formatCode>
                <c:ptCount val="1"/>
                <c:pt idx="0">
                  <c:v>0</c:v>
                </c:pt>
              </c:numCache>
            </c:numRef>
          </c:cat>
          <c:val>
            <c:numRef>
              <c:f>CF!$EJ$106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5-46FA-9526-2AEA80BEFD40}"/>
            </c:ext>
          </c:extLst>
        </c:ser>
        <c:ser>
          <c:idx val="1"/>
          <c:order val="1"/>
          <c:tx>
            <c:v>Temps de travail bénévole(s) 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10116610493756695"/>
                  <c:y val="-0.1704816906194219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j-lt"/>
                        <a:ea typeface="+mn-ea"/>
                        <a:cs typeface="+mn-cs"/>
                      </a:defRPr>
                    </a:pPr>
                    <a:fld id="{6D3E4D62-2DAF-41BA-977B-DB982881D6DD}" type="VALUE">
                      <a:rPr lang="en-US" sz="700">
                        <a:latin typeface="+mj-lt"/>
                      </a:rPr>
                      <a:pPr>
                        <a:defRPr sz="700">
                          <a:latin typeface="+mj-lt"/>
                        </a:defRPr>
                      </a:pPr>
                      <a:t>[VALEUR]</a:t>
                    </a:fld>
                    <a:r>
                      <a:rPr lang="en-US" sz="700">
                        <a:latin typeface="+mj-lt"/>
                      </a:rPr>
                      <a:t> </a:t>
                    </a:r>
                  </a:p>
                  <a:p>
                    <a:pPr>
                      <a:defRPr sz="700">
                        <a:latin typeface="+mj-lt"/>
                      </a:defRPr>
                    </a:pPr>
                    <a:r>
                      <a:rPr lang="en-US" sz="700">
                        <a:latin typeface="+mj-lt"/>
                      </a:rPr>
                      <a:t>heures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j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1318516354436051"/>
                      <c:h val="0.1352267114157537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F85-46FA-9526-2AEA80BEFD40}"/>
                </c:ext>
              </c:extLst>
            </c:dLbl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oundRect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CF!$EJ$106</c:f>
              <c:numCache>
                <c:formatCode>0</c:formatCode>
                <c:ptCount val="1"/>
                <c:pt idx="0">
                  <c:v>0</c:v>
                </c:pt>
              </c:numCache>
            </c:numRef>
          </c:cat>
          <c:val>
            <c:numRef>
              <c:f>CF!$EJ$111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5-46FA-9526-2AEA80BEFD40}"/>
            </c:ext>
          </c:extLst>
        </c:ser>
        <c:ser>
          <c:idx val="8"/>
          <c:order val="8"/>
          <c:tx>
            <c:v>Temps de travail salarié(s)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6901431471855837E-2"/>
                  <c:y val="0.14612719280491041"/>
                </c:manualLayout>
              </c:layout>
              <c:tx>
                <c:rich>
                  <a:bodyPr/>
                  <a:lstStyle/>
                  <a:p>
                    <a:fld id="{1E56F6A3-6F2F-4C46-8C1E-D743967E98AF}" type="VALUE">
                      <a:rPr lang="en-US"/>
                      <a:pPr/>
                      <a:t>[VALEUR]</a:t>
                    </a:fld>
                    <a:r>
                      <a:rPr lang="en-US"/>
                      <a:t> heures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151518243318177"/>
                      <c:h val="9.0352420905131153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5B2-41AF-8313-946B22FF0FD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oundRect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CF!$EJ$109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2-41AF-8313-946B22FF0FD2}"/>
            </c:ext>
          </c:extLst>
        </c:ser>
        <c:ser>
          <c:idx val="9"/>
          <c:order val="9"/>
          <c:tx>
            <c:strRef>
              <c:f>CF!$EI$112</c:f>
              <c:strCache>
                <c:ptCount val="1"/>
                <c:pt idx="0">
                  <c:v>Temps de travail des tiers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856104787005626E-3"/>
                  <c:y val="-0.13649573485816108"/>
                </c:manualLayout>
              </c:layout>
              <c:tx>
                <c:rich>
                  <a:bodyPr/>
                  <a:lstStyle/>
                  <a:p>
                    <a:fld id="{DD26AD59-B4C5-43D2-A281-20DDF672C98A}" type="VALUE">
                      <a:rPr lang="en-US" sz="800">
                        <a:latin typeface="+mj-lt"/>
                      </a:rPr>
                      <a:pPr/>
                      <a:t>[VALEUR]</a:t>
                    </a:fld>
                    <a:r>
                      <a:rPr lang="en-US" sz="800">
                        <a:latin typeface="+mj-lt"/>
                      </a:rPr>
                      <a:t> heures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894785405345459E-2"/>
                      <c:h val="0.1219775129026022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4D40-4C5B-9BB0-E4179D6405A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oundRect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CF!$EJ$112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B2-41AF-8313-946B22FF0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1855888"/>
        <c:axId val="1851851728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v>Travail sur les surfaces réalisé par la main-d'œuvre extérieure</c:v>
                </c:tx>
                <c:spPr>
                  <a:solidFill>
                    <a:schemeClr val="accent6">
                      <a:lumMod val="20000"/>
                      <a:lumOff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dLbl>
                    <c:idx val="0"/>
                    <c:layout>
                      <c:manualLayout>
                        <c:x val="3.5956660230359754E-2"/>
                        <c:y val="-0.173852402444058"/>
                      </c:manualLayout>
                    </c:layout>
                    <c:tx>
                      <c:rich>
                        <a:bodyPr/>
                        <a:lstStyle/>
                        <a:p>
                          <a:fld id="{3AAA4BA5-7283-4012-BFCB-D75015E73BB8}" type="VALUE">
                            <a:rPr lang="en-US"/>
                            <a:pPr/>
                            <a:t>[VALEUR]</a:t>
                          </a:fld>
                          <a:endParaRPr lang="en-US"/>
                        </a:p>
                        <a:p>
                          <a:r>
                            <a:rPr lang="en-US"/>
                            <a:t>heures</a:t>
                          </a:r>
                        </a:p>
                      </c:rich>
                    </c:tx>
                    <c:dLblPos val="ct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0.15145908926848048"/>
                            <c:h val="0.14596852226515186"/>
                          </c:manualLayout>
                        </c15:layout>
                        <c15:dlblFieldTable/>
                        <c15:showDataLabelsRange val="0"/>
                      </c:ext>
                      <c:ext xmlns:c16="http://schemas.microsoft.com/office/drawing/2014/chart" uri="{C3380CC4-5D6E-409C-BE32-E72D297353CC}">
                        <c16:uniqueId val="{0000000A-4F85-46FA-9526-2AEA80BEFD40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t" anchorCtr="0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j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ound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CF!$EJ$106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CF!$EJ$113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F85-46FA-9526-2AEA80BEFD40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CF!$EJ$106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CF!$EJ$109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F85-46FA-9526-2AEA80BEFD40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CF!$EJ$106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CF!$EJ$110</c15:sqref>
                        </c15:formulaRef>
                      </c:ext>
                    </c:extLst>
                    <c:numCache>
                      <c:formatCode>0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F85-46FA-9526-2AEA80BEFD40}"/>
                  </c:ext>
                </c:extLst>
              </c15:ser>
            </c15:filteredBarSeries>
            <c15:filteredBarSeries>
              <c15:ser>
                <c:idx val="5"/>
                <c:order val="5"/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CF!$EJ$106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CF!$EJ$111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F85-46FA-9526-2AEA80BEFD40}"/>
                  </c:ext>
                </c:extLst>
              </c15:ser>
            </c15:filteredBarSeries>
            <c15:filteredBarSeries>
              <c15:ser>
                <c:idx val="6"/>
                <c:order val="6"/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CF!$EJ$106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CF!$EJ$112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4F85-46FA-9526-2AEA80BEFD40}"/>
                  </c:ext>
                </c:extLst>
              </c15:ser>
            </c15:filteredBarSeries>
            <c15:filteredBarSeries>
              <c15:ser>
                <c:idx val="7"/>
                <c:order val="7"/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CF!$EJ$106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CF!$EJ$113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F85-46FA-9526-2AEA80BEFD40}"/>
                  </c:ext>
                </c:extLst>
              </c15:ser>
            </c15:filteredBarSeries>
          </c:ext>
        </c:extLst>
      </c:barChart>
      <c:catAx>
        <c:axId val="1851855888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1851851728"/>
        <c:crosses val="autoZero"/>
        <c:auto val="1"/>
        <c:lblAlgn val="ctr"/>
        <c:lblOffset val="100"/>
        <c:noMultiLvlLbl val="0"/>
      </c:catAx>
      <c:valAx>
        <c:axId val="1851851728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low"/>
        <c:spPr>
          <a:noFill/>
          <a:ln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fr-FR"/>
          </a:p>
        </c:txPr>
        <c:crossAx val="185185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fr-F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fr-FR"/>
          </a:p>
        </c:txPr>
      </c:legendEntry>
      <c:layout>
        <c:manualLayout>
          <c:xMode val="edge"/>
          <c:yMode val="edge"/>
          <c:x val="2.300559507447556E-3"/>
          <c:y val="0.69156823000609191"/>
          <c:w val="0.99549718520892705"/>
          <c:h val="0.26359293121480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2.xml"/><Relationship Id="rId7" Type="http://schemas.openxmlformats.org/officeDocument/2006/relationships/image" Target="../media/image4.JP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3.jpg"/><Relationship Id="rId11" Type="http://schemas.openxmlformats.org/officeDocument/2006/relationships/image" Target="../media/image7.png"/><Relationship Id="rId5" Type="http://schemas.openxmlformats.org/officeDocument/2006/relationships/image" Target="../media/image2.jpg"/><Relationship Id="rId10" Type="http://schemas.openxmlformats.org/officeDocument/2006/relationships/image" Target="../media/image6.png"/><Relationship Id="rId4" Type="http://schemas.openxmlformats.org/officeDocument/2006/relationships/chart" Target="../charts/chart3.xml"/><Relationship Id="rId9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34</xdr:row>
      <xdr:rowOff>16934</xdr:rowOff>
    </xdr:from>
    <xdr:to>
      <xdr:col>2</xdr:col>
      <xdr:colOff>850900</xdr:colOff>
      <xdr:row>42</xdr:row>
      <xdr:rowOff>178776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317500</xdr:colOff>
      <xdr:row>19</xdr:row>
      <xdr:rowOff>31750</xdr:rowOff>
    </xdr:from>
    <xdr:to>
      <xdr:col>5</xdr:col>
      <xdr:colOff>469900</xdr:colOff>
      <xdr:row>19</xdr:row>
      <xdr:rowOff>184150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3022600"/>
          <a:ext cx="152400" cy="152400"/>
        </a:xfrm>
        <a:prstGeom prst="rect">
          <a:avLst/>
        </a:prstGeom>
      </xdr:spPr>
    </xdr:pic>
    <xdr:clientData/>
  </xdr:twoCellAnchor>
  <xdr:twoCellAnchor>
    <xdr:from>
      <xdr:col>1</xdr:col>
      <xdr:colOff>21166</xdr:colOff>
      <xdr:row>89</xdr:row>
      <xdr:rowOff>57150</xdr:rowOff>
    </xdr:from>
    <xdr:to>
      <xdr:col>4</xdr:col>
      <xdr:colOff>1638300</xdr:colOff>
      <xdr:row>99</xdr:row>
      <xdr:rowOff>26458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12700</xdr:colOff>
      <xdr:row>34</xdr:row>
      <xdr:rowOff>12700</xdr:rowOff>
    </xdr:from>
    <xdr:to>
      <xdr:col>5</xdr:col>
      <xdr:colOff>717550</xdr:colOff>
      <xdr:row>43</xdr:row>
      <xdr:rowOff>127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273050</xdr:colOff>
      <xdr:row>10</xdr:row>
      <xdr:rowOff>76200</xdr:rowOff>
    </xdr:from>
    <xdr:to>
      <xdr:col>5</xdr:col>
      <xdr:colOff>633050</xdr:colOff>
      <xdr:row>13</xdr:row>
      <xdr:rowOff>10750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5505450" y="2063750"/>
          <a:ext cx="360000" cy="360000"/>
        </a:xfrm>
        <a:prstGeom prst="ellipse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5</xdr:col>
      <xdr:colOff>323189</xdr:colOff>
      <xdr:row>45</xdr:row>
      <xdr:rowOff>19051</xdr:rowOff>
    </xdr:from>
    <xdr:to>
      <xdr:col>5</xdr:col>
      <xdr:colOff>683189</xdr:colOff>
      <xdr:row>47</xdr:row>
      <xdr:rowOff>8195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55589" y="7245351"/>
          <a:ext cx="360000" cy="357444"/>
        </a:xfrm>
        <a:prstGeom prst="ellipse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90000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5</xdr:col>
      <xdr:colOff>323850</xdr:colOff>
      <xdr:row>63</xdr:row>
      <xdr:rowOff>10583</xdr:rowOff>
    </xdr:from>
    <xdr:to>
      <xdr:col>5</xdr:col>
      <xdr:colOff>683850</xdr:colOff>
      <xdr:row>65</xdr:row>
      <xdr:rowOff>34033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5435600" y="9294283"/>
          <a:ext cx="360000" cy="353650"/>
        </a:xfrm>
        <a:prstGeom prst="ellipse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5</xdr:col>
      <xdr:colOff>234950</xdr:colOff>
      <xdr:row>1</xdr:row>
      <xdr:rowOff>146050</xdr:rowOff>
    </xdr:from>
    <xdr:to>
      <xdr:col>5</xdr:col>
      <xdr:colOff>594950</xdr:colOff>
      <xdr:row>3</xdr:row>
      <xdr:rowOff>55200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5467350" y="514350"/>
          <a:ext cx="360000" cy="360000"/>
        </a:xfrm>
        <a:prstGeom prst="ellipse">
          <a:avLst/>
        </a:prstGeom>
        <a:blipFill>
          <a:blip xmlns:r="http://schemas.openxmlformats.org/officeDocument/2006/relationships" r:embed="rId8"/>
          <a:stretch>
            <a:fillRect/>
          </a:stretch>
        </a:blip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0</xdr:col>
      <xdr:colOff>104775</xdr:colOff>
      <xdr:row>111</xdr:row>
      <xdr:rowOff>76201</xdr:rowOff>
    </xdr:from>
    <xdr:to>
      <xdr:col>5</xdr:col>
      <xdr:colOff>639233</xdr:colOff>
      <xdr:row>123</xdr:row>
      <xdr:rowOff>52917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273050</xdr:colOff>
      <xdr:row>31</xdr:row>
      <xdr:rowOff>50800</xdr:rowOff>
    </xdr:from>
    <xdr:to>
      <xdr:col>5</xdr:col>
      <xdr:colOff>633050</xdr:colOff>
      <xdr:row>33</xdr:row>
      <xdr:rowOff>36150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5384800" y="4686300"/>
          <a:ext cx="360000" cy="360000"/>
        </a:xfrm>
        <a:prstGeom prst="ellipse">
          <a:avLst/>
        </a:prstGeom>
        <a:blipFill dpi="0"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5</xdr:col>
      <xdr:colOff>342900</xdr:colOff>
      <xdr:row>86</xdr:row>
      <xdr:rowOff>31750</xdr:rowOff>
    </xdr:from>
    <xdr:to>
      <xdr:col>5</xdr:col>
      <xdr:colOff>702900</xdr:colOff>
      <xdr:row>88</xdr:row>
      <xdr:rowOff>61550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5575300" y="11868150"/>
          <a:ext cx="360000" cy="360000"/>
        </a:xfrm>
        <a:prstGeom prst="ellipse">
          <a:avLst/>
        </a:prstGeom>
        <a:blipFill dpi="0"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5</xdr:col>
      <xdr:colOff>329539</xdr:colOff>
      <xdr:row>105</xdr:row>
      <xdr:rowOff>95251</xdr:rowOff>
    </xdr:from>
    <xdr:to>
      <xdr:col>5</xdr:col>
      <xdr:colOff>689539</xdr:colOff>
      <xdr:row>108</xdr:row>
      <xdr:rowOff>36151</xdr:rowOff>
    </xdr:to>
    <xdr:sp macro="" textlink="">
      <xdr:nvSpPr>
        <xdr:cNvPr id="18" name="Ellips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5561939" y="14554201"/>
          <a:ext cx="360000" cy="360000"/>
        </a:xfrm>
        <a:prstGeom prst="ellipse">
          <a:avLst/>
        </a:prstGeom>
        <a:blipFill dpi="0"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5</xdr:col>
      <xdr:colOff>316839</xdr:colOff>
      <xdr:row>98</xdr:row>
      <xdr:rowOff>63501</xdr:rowOff>
    </xdr:from>
    <xdr:to>
      <xdr:col>5</xdr:col>
      <xdr:colOff>676839</xdr:colOff>
      <xdr:row>101</xdr:row>
      <xdr:rowOff>112351</xdr:rowOff>
    </xdr:to>
    <xdr:sp macro="" textlink="">
      <xdr:nvSpPr>
        <xdr:cNvPr id="19" name="Ellips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/>
        </xdr:cNvSpPr>
      </xdr:nvSpPr>
      <xdr:spPr>
        <a:xfrm>
          <a:off x="5549239" y="13773151"/>
          <a:ext cx="360000" cy="360000"/>
        </a:xfrm>
        <a:prstGeom prst="ellipse">
          <a:avLst/>
        </a:prstGeom>
        <a:blipFill dpi="0"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chemeClr val="tx2">
              <a:lumMod val="75000"/>
              <a:alpha val="96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88000" rtlCol="0" anchor="t"/>
        <a:lstStyle/>
        <a:p>
          <a:pPr algn="l"/>
          <a:endParaRPr lang="fr-BE" sz="1100"/>
        </a:p>
      </xdr:txBody>
    </xdr:sp>
    <xdr:clientData/>
  </xdr:twoCellAnchor>
  <xdr:twoCellAnchor editAs="oneCell">
    <xdr:from>
      <xdr:col>5</xdr:col>
      <xdr:colOff>312964</xdr:colOff>
      <xdr:row>17</xdr:row>
      <xdr:rowOff>24507</xdr:rowOff>
    </xdr:from>
    <xdr:to>
      <xdr:col>5</xdr:col>
      <xdr:colOff>465364</xdr:colOff>
      <xdr:row>17</xdr:row>
      <xdr:rowOff>176907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4714" y="2768614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5</xdr:col>
      <xdr:colOff>320221</xdr:colOff>
      <xdr:row>21</xdr:row>
      <xdr:rowOff>18157</xdr:rowOff>
    </xdr:from>
    <xdr:to>
      <xdr:col>5</xdr:col>
      <xdr:colOff>472621</xdr:colOff>
      <xdr:row>21</xdr:row>
      <xdr:rowOff>170557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7021" y="3294757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5</xdr:col>
      <xdr:colOff>318409</xdr:colOff>
      <xdr:row>24</xdr:row>
      <xdr:rowOff>20874</xdr:rowOff>
    </xdr:from>
    <xdr:to>
      <xdr:col>5</xdr:col>
      <xdr:colOff>470809</xdr:colOff>
      <xdr:row>24</xdr:row>
      <xdr:rowOff>173274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0159" y="3717481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5</xdr:col>
      <xdr:colOff>314779</xdr:colOff>
      <xdr:row>28</xdr:row>
      <xdr:rowOff>17246</xdr:rowOff>
    </xdr:from>
    <xdr:to>
      <xdr:col>5</xdr:col>
      <xdr:colOff>467179</xdr:colOff>
      <xdr:row>28</xdr:row>
      <xdr:rowOff>169646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6529" y="4212782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317500</xdr:colOff>
      <xdr:row>30</xdr:row>
      <xdr:rowOff>24508</xdr:rowOff>
    </xdr:from>
    <xdr:to>
      <xdr:col>5</xdr:col>
      <xdr:colOff>469900</xdr:colOff>
      <xdr:row>30</xdr:row>
      <xdr:rowOff>176908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4474044"/>
          <a:ext cx="152400" cy="15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333487</xdr:colOff>
      <xdr:row>28</xdr:row>
      <xdr:rowOff>61370</xdr:rowOff>
    </xdr:from>
    <xdr:to>
      <xdr:col>7</xdr:col>
      <xdr:colOff>707160</xdr:colOff>
      <xdr:row>31</xdr:row>
      <xdr:rowOff>115455</xdr:rowOff>
    </xdr:to>
    <xdr:sp macro="" textlink="">
      <xdr:nvSpPr>
        <xdr:cNvPr id="16" name="Rectangle à coins arrondis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33487" y="5222188"/>
          <a:ext cx="5292037" cy="608267"/>
        </a:xfrm>
        <a:prstGeom prst="roundRect">
          <a:avLst/>
        </a:prstGeom>
        <a:solidFill>
          <a:schemeClr val="bg1"/>
        </a:solidFill>
        <a:ln>
          <a:gradFill>
            <a:gsLst>
              <a:gs pos="0">
                <a:schemeClr val="accent4">
                  <a:lumMod val="60000"/>
                  <a:lumOff val="40000"/>
                </a:schemeClr>
              </a:gs>
              <a:gs pos="56000">
                <a:schemeClr val="accent1">
                  <a:lumMod val="45000"/>
                  <a:lumOff val="55000"/>
                </a:schemeClr>
              </a:gs>
              <a:gs pos="48104">
                <a:schemeClr val="accent6">
                  <a:lumMod val="40000"/>
                  <a:lumOff val="60000"/>
                </a:schemeClr>
              </a:gs>
              <a:gs pos="57000">
                <a:schemeClr val="accent6">
                  <a:lumMod val="40000"/>
                  <a:lumOff val="60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356577</xdr:colOff>
      <xdr:row>14</xdr:row>
      <xdr:rowOff>49824</xdr:rowOff>
    </xdr:from>
    <xdr:to>
      <xdr:col>7</xdr:col>
      <xdr:colOff>723900</xdr:colOff>
      <xdr:row>25</xdr:row>
      <xdr:rowOff>178954</xdr:rowOff>
    </xdr:to>
    <xdr:sp macro="" textlink="">
      <xdr:nvSpPr>
        <xdr:cNvPr id="11" name="Rectangle à coins arrondis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56577" y="2539024"/>
          <a:ext cx="5174273" cy="2154780"/>
        </a:xfrm>
        <a:prstGeom prst="roundRect">
          <a:avLst/>
        </a:prstGeom>
        <a:solidFill>
          <a:schemeClr val="bg1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342900</xdr:colOff>
      <xdr:row>9</xdr:row>
      <xdr:rowOff>68385</xdr:rowOff>
    </xdr:from>
    <xdr:to>
      <xdr:col>7</xdr:col>
      <xdr:colOff>714375</xdr:colOff>
      <xdr:row>12</xdr:row>
      <xdr:rowOff>75046</xdr:rowOff>
    </xdr:to>
    <xdr:sp macro="" textlink="">
      <xdr:nvSpPr>
        <xdr:cNvPr id="8" name="Rectangle à coins arrondis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42900" y="1730930"/>
          <a:ext cx="5289839" cy="560843"/>
        </a:xfrm>
        <a:prstGeom prst="roundRect">
          <a:avLst/>
        </a:prstGeom>
        <a:solidFill>
          <a:schemeClr val="bg1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317500</xdr:colOff>
      <xdr:row>8</xdr:row>
      <xdr:rowOff>170962</xdr:rowOff>
    </xdr:from>
    <xdr:to>
      <xdr:col>6</xdr:col>
      <xdr:colOff>266700</xdr:colOff>
      <xdr:row>8</xdr:row>
      <xdr:rowOff>177800</xdr:rowOff>
    </xdr:to>
    <xdr:cxnSp macro="">
      <xdr:nvCxnSpPr>
        <xdr:cNvPr id="3" name="Connecteur droi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317500" y="1644162"/>
          <a:ext cx="3994150" cy="6838"/>
        </a:xfrm>
        <a:prstGeom prst="line">
          <a:avLst/>
        </a:prstGeom>
        <a:ln w="12700">
          <a:solidFill>
            <a:schemeClr val="accent2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46</xdr:row>
      <xdr:rowOff>37755</xdr:rowOff>
    </xdr:from>
    <xdr:to>
      <xdr:col>2</xdr:col>
      <xdr:colOff>4884</xdr:colOff>
      <xdr:row>51</xdr:row>
      <xdr:rowOff>7316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04300"/>
          <a:ext cx="1563520" cy="893198"/>
        </a:xfrm>
        <a:prstGeom prst="rect">
          <a:avLst/>
        </a:prstGeom>
      </xdr:spPr>
    </xdr:pic>
    <xdr:clientData/>
  </xdr:twoCellAnchor>
  <xdr:twoCellAnchor>
    <xdr:from>
      <xdr:col>0</xdr:col>
      <xdr:colOff>374650</xdr:colOff>
      <xdr:row>9</xdr:row>
      <xdr:rowOff>87922</xdr:rowOff>
    </xdr:from>
    <xdr:to>
      <xdr:col>7</xdr:col>
      <xdr:colOff>658813</xdr:colOff>
      <xdr:row>12</xdr:row>
      <xdr:rowOff>115455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374650" y="1750467"/>
          <a:ext cx="5202527" cy="5817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BE" sz="1000">
              <a:latin typeface="+mj-lt"/>
            </a:rPr>
            <a:t>Pour calculer le temps de travail, on distingue les exploitants de la main-d'œuvre</a:t>
          </a:r>
          <a:r>
            <a:rPr lang="fr-BE" sz="1000" baseline="0">
              <a:latin typeface="+mj-lt"/>
            </a:rPr>
            <a:t> </a:t>
          </a:r>
          <a:r>
            <a:rPr lang="fr-BE" sz="1000">
              <a:latin typeface="+mj-lt"/>
            </a:rPr>
            <a:t>extérieure (bénévoles, tiers, salariés,…). Attention à la main-d'oeuvre</a:t>
          </a:r>
          <a:r>
            <a:rPr lang="fr-BE" sz="1000" baseline="0">
              <a:latin typeface="+mj-lt"/>
            </a:rPr>
            <a:t> bénévole, sauriez-vous la remplacer si elle venait à se réduire?</a:t>
          </a:r>
          <a:endParaRPr lang="fr-BE" sz="1000">
            <a:latin typeface="+mj-lt"/>
          </a:endParaRPr>
        </a:p>
      </xdr:txBody>
    </xdr:sp>
    <xdr:clientData/>
  </xdr:twoCellAnchor>
  <xdr:twoCellAnchor>
    <xdr:from>
      <xdr:col>0</xdr:col>
      <xdr:colOff>298938</xdr:colOff>
      <xdr:row>13</xdr:row>
      <xdr:rowOff>171450</xdr:rowOff>
    </xdr:from>
    <xdr:to>
      <xdr:col>3</xdr:col>
      <xdr:colOff>387350</xdr:colOff>
      <xdr:row>13</xdr:row>
      <xdr:rowOff>173404</xdr:rowOff>
    </xdr:to>
    <xdr:cxnSp macro="">
      <xdr:nvCxnSpPr>
        <xdr:cNvPr id="6" name="Connecteur droi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 flipV="1">
          <a:off x="298938" y="2476500"/>
          <a:ext cx="2374412" cy="1954"/>
        </a:xfrm>
        <a:prstGeom prst="line">
          <a:avLst/>
        </a:prstGeom>
        <a:ln w="12700">
          <a:solidFill>
            <a:schemeClr val="accent1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334685</xdr:colOff>
      <xdr:row>28</xdr:row>
      <xdr:rowOff>76695</xdr:rowOff>
    </xdr:from>
    <xdr:to>
      <xdr:col>7</xdr:col>
      <xdr:colOff>721706</xdr:colOff>
      <xdr:row>31</xdr:row>
      <xdr:rowOff>132775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34685" y="5237513"/>
          <a:ext cx="5305385" cy="610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BE" sz="1000">
              <a:latin typeface="+mj-lt"/>
            </a:rPr>
            <a:t>Les questions concernant le système</a:t>
          </a:r>
          <a:r>
            <a:rPr lang="fr-BE" sz="1000" baseline="0">
              <a:latin typeface="+mj-lt"/>
            </a:rPr>
            <a:t> fourrager et les cultures permettent de déterminer le travail de saison </a:t>
          </a:r>
          <a:r>
            <a:rPr lang="fr-BE" sz="1000" b="0" baseline="0">
              <a:latin typeface="+mj-lt"/>
            </a:rPr>
            <a:t>lié aux superficies fourragères et aux cultures (de l'implantation à la récolte). On obtient la répartition du travail de saison.</a:t>
          </a:r>
          <a:endParaRPr lang="fr-BE" sz="1000" b="0">
            <a:latin typeface="+mj-lt"/>
          </a:endParaRPr>
        </a:p>
      </xdr:txBody>
    </xdr:sp>
    <xdr:clientData/>
  </xdr:twoCellAnchor>
  <xdr:twoCellAnchor>
    <xdr:from>
      <xdr:col>0</xdr:col>
      <xdr:colOff>305288</xdr:colOff>
      <xdr:row>27</xdr:row>
      <xdr:rowOff>163356</xdr:rowOff>
    </xdr:from>
    <xdr:to>
      <xdr:col>2</xdr:col>
      <xdr:colOff>457791</xdr:colOff>
      <xdr:row>27</xdr:row>
      <xdr:rowOff>166133</xdr:rowOff>
    </xdr:to>
    <xdr:cxnSp macro="">
      <xdr:nvCxnSpPr>
        <xdr:cNvPr id="12" name="Connecteur droi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305288" y="4962775"/>
          <a:ext cx="1717852" cy="2777"/>
        </a:xfrm>
        <a:prstGeom prst="line">
          <a:avLst/>
        </a:prstGeom>
        <a:ln w="12700">
          <a:solidFill>
            <a:schemeClr val="accent6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427265</xdr:colOff>
      <xdr:row>14</xdr:row>
      <xdr:rowOff>90372</xdr:rowOff>
    </xdr:from>
    <xdr:to>
      <xdr:col>7</xdr:col>
      <xdr:colOff>717551</xdr:colOff>
      <xdr:row>26</xdr:row>
      <xdr:rowOff>69849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27265" y="2579572"/>
          <a:ext cx="5097236" cy="21892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BE" sz="1000">
              <a:latin typeface="+mj-lt"/>
            </a:rPr>
            <a:t>Les choix concernant la conduite technique de l'élevage impactent le temps de travail. Par exemple,</a:t>
          </a:r>
          <a:r>
            <a:rPr lang="fr-BE" sz="1000" baseline="0">
              <a:latin typeface="+mj-lt"/>
            </a:rPr>
            <a:t> élever </a:t>
          </a:r>
          <a:r>
            <a:rPr lang="fr-BE" sz="1000">
              <a:latin typeface="+mj-lt"/>
            </a:rPr>
            <a:t>les veaux sous la mère implique bien souvent un gain de temps. Mais</a:t>
          </a:r>
          <a:r>
            <a:rPr lang="fr-BE" sz="1000" baseline="0">
              <a:latin typeface="+mj-lt"/>
            </a:rPr>
            <a:t> d'autres considérations doivent être prises en compte pour décider de mettre en place l'une ou l'autre pratique d'élevage. N'hésitez pas à consulter votre conseiller. En annexe, vous trouverez quelques avantages et inconvénients des pratiques abordées dans la calculette.</a:t>
          </a:r>
        </a:p>
        <a:p>
          <a:pPr algn="l"/>
          <a:endParaRPr lang="fr-BE" sz="1000" baseline="0">
            <a:latin typeface="+mj-lt"/>
          </a:endParaRPr>
        </a:p>
        <a:p>
          <a:pPr algn="l"/>
          <a:r>
            <a:rPr lang="fr-BE" sz="1000" baseline="0">
              <a:latin typeface="+mj-lt"/>
            </a:rPr>
            <a:t>En précisant les pratiques, </a:t>
          </a:r>
          <a:r>
            <a:rPr lang="fr-BE" sz="1000" b="0" baseline="0">
              <a:latin typeface="+mj-lt"/>
            </a:rPr>
            <a:t>on détermine un travail d'astreinte :  </a:t>
          </a:r>
          <a:r>
            <a:rPr lang="fr-BE" sz="1000" b="0" i="0" u="none" strike="noStrike" baseline="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l</a:t>
          </a:r>
          <a:r>
            <a:rPr lang="fr-BE" sz="1000" b="0" i="0" u="none" strike="noStrike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e travail d'astreinte s'effectue quotidiennement et correspond aux soins journaliers apportés aux animaux (alimentation, paillage, surveillance...). Il représente en moyenne 66% du travail total effectué sur l'exploitation. On conseille que le travail d'astreinte</a:t>
          </a:r>
          <a:r>
            <a:rPr lang="fr-BE" sz="1000" b="0" i="0" u="none" strike="noStrike" baseline="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 par exploitant et par jour ne dépasse pas 5 heures. </a:t>
          </a:r>
          <a:endParaRPr lang="fr-BE" sz="1000" b="0" i="0" u="none" strike="noStrike">
            <a:solidFill>
              <a:schemeClr val="dk1"/>
            </a:solidFill>
            <a:effectLst/>
            <a:latin typeface="+mj-lt"/>
            <a:ea typeface="+mn-ea"/>
            <a:cs typeface="+mn-cs"/>
          </a:endParaRPr>
        </a:p>
        <a:p>
          <a:pPr algn="l"/>
          <a:r>
            <a:rPr lang="fr-BE" sz="1000" b="0" i="0" u="none" strike="noStrike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On détermine également un travail de saison pour le troupeau: il correspond à des tâches concentrées sur une période donnée (vêlage, prophylaxie, déplacements...).</a:t>
          </a:r>
          <a:endParaRPr lang="fr-BE" sz="1000">
            <a:latin typeface="+mj-lt"/>
          </a:endParaRPr>
        </a:p>
      </xdr:txBody>
    </xdr:sp>
    <xdr:clientData/>
  </xdr:twoCellAnchor>
  <xdr:twoCellAnchor>
    <xdr:from>
      <xdr:col>2</xdr:col>
      <xdr:colOff>627616</xdr:colOff>
      <xdr:row>27</xdr:row>
      <xdr:rowOff>162442</xdr:rowOff>
    </xdr:from>
    <xdr:to>
      <xdr:col>4</xdr:col>
      <xdr:colOff>184150</xdr:colOff>
      <xdr:row>27</xdr:row>
      <xdr:rowOff>165100</xdr:rowOff>
    </xdr:to>
    <xdr:cxnSp macro="">
      <xdr:nvCxnSpPr>
        <xdr:cNvPr id="14" name="Connecteur droi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>
          <a:off x="2151616" y="4937642"/>
          <a:ext cx="1080534" cy="2658"/>
        </a:xfrm>
        <a:prstGeom prst="line">
          <a:avLst/>
        </a:prstGeom>
        <a:ln w="12700">
          <a:solidFill>
            <a:schemeClr val="accent4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305288</xdr:colOff>
      <xdr:row>27</xdr:row>
      <xdr:rowOff>159866</xdr:rowOff>
    </xdr:from>
    <xdr:to>
      <xdr:col>2</xdr:col>
      <xdr:colOff>457791</xdr:colOff>
      <xdr:row>27</xdr:row>
      <xdr:rowOff>162643</xdr:rowOff>
    </xdr:to>
    <xdr:cxnSp macro="">
      <xdr:nvCxnSpPr>
        <xdr:cNvPr id="17" name="Connecteur droi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>
          <a:off x="305288" y="4962775"/>
          <a:ext cx="1711139" cy="2777"/>
        </a:xfrm>
        <a:prstGeom prst="line">
          <a:avLst/>
        </a:prstGeom>
        <a:ln w="12700">
          <a:solidFill>
            <a:schemeClr val="accent6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342233</xdr:colOff>
      <xdr:row>32</xdr:row>
      <xdr:rowOff>173720</xdr:rowOff>
    </xdr:from>
    <xdr:to>
      <xdr:col>2</xdr:col>
      <xdr:colOff>494736</xdr:colOff>
      <xdr:row>32</xdr:row>
      <xdr:rowOff>176497</xdr:rowOff>
    </xdr:to>
    <xdr:cxnSp macro="">
      <xdr:nvCxnSpPr>
        <xdr:cNvPr id="18" name="Connecteur droit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/>
      </xdr:nvCxnSpPr>
      <xdr:spPr>
        <a:xfrm>
          <a:off x="342233" y="6269720"/>
          <a:ext cx="1711139" cy="2777"/>
        </a:xfrm>
        <a:prstGeom prst="line">
          <a:avLst/>
        </a:prstGeom>
        <a:ln w="12700">
          <a:solidFill>
            <a:schemeClr val="tx2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336550</xdr:colOff>
      <xdr:row>33</xdr:row>
      <xdr:rowOff>42489</xdr:rowOff>
    </xdr:from>
    <xdr:to>
      <xdr:col>7</xdr:col>
      <xdr:colOff>698046</xdr:colOff>
      <xdr:row>35</xdr:row>
      <xdr:rowOff>100693</xdr:rowOff>
    </xdr:to>
    <xdr:sp macro="" textlink="">
      <xdr:nvSpPr>
        <xdr:cNvPr id="19" name="Rectangle à coins arrondis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336550" y="5890839"/>
          <a:ext cx="5168446" cy="426504"/>
        </a:xfrm>
        <a:prstGeom prst="roundRect">
          <a:avLst/>
        </a:prstGeom>
        <a:solidFill>
          <a:schemeClr val="bg1"/>
        </a:solidFill>
        <a:ln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322037</xdr:colOff>
      <xdr:row>33</xdr:row>
      <xdr:rowOff>63500</xdr:rowOff>
    </xdr:from>
    <xdr:to>
      <xdr:col>8</xdr:col>
      <xdr:colOff>0</xdr:colOff>
      <xdr:row>35</xdr:row>
      <xdr:rowOff>149679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322037" y="5911850"/>
          <a:ext cx="5246913" cy="4544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BE" sz="1000">
              <a:latin typeface="+mj-lt"/>
            </a:rPr>
            <a:t>La gestion administrative a pris une place grandissante dans le pilotage de l'exploitation. C'est un poste clé à ne pas négliger pour assurer la gestion et la rentabilité de l'exploitation</a:t>
          </a:r>
          <a:r>
            <a:rPr lang="fr-BE" sz="1000"/>
            <a:t>.</a:t>
          </a:r>
        </a:p>
      </xdr:txBody>
    </xdr:sp>
    <xdr:clientData/>
  </xdr:twoCellAnchor>
  <xdr:twoCellAnchor>
    <xdr:from>
      <xdr:col>0</xdr:col>
      <xdr:colOff>0</xdr:colOff>
      <xdr:row>2</xdr:row>
      <xdr:rowOff>4536</xdr:rowOff>
    </xdr:from>
    <xdr:to>
      <xdr:col>7</xdr:col>
      <xdr:colOff>771072</xdr:colOff>
      <xdr:row>5</xdr:row>
      <xdr:rowOff>72572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0" y="376465"/>
          <a:ext cx="5692322" cy="6259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BE" sz="1000" i="0">
              <a:latin typeface="+mj-lt"/>
              <a:ea typeface="Microsoft YaHei UI Light" panose="020B0502040204020203" pitchFamily="34" charset="-122"/>
              <a:cs typeface="Microsoft Himalaya" panose="01010100010101010101" pitchFamily="2" charset="0"/>
            </a:rPr>
            <a:t>L’outil propose d'estimer le temps de travail requis par l'atelier allaitant et prend en compte les paramètres d'élevage impactant</a:t>
          </a:r>
          <a:r>
            <a:rPr lang="fr-BE" sz="1000" i="0" baseline="0">
              <a:latin typeface="+mj-lt"/>
              <a:ea typeface="Microsoft YaHei UI Light" panose="020B0502040204020203" pitchFamily="34" charset="-122"/>
              <a:cs typeface="Microsoft Himalaya" panose="01010100010101010101" pitchFamily="2" charset="0"/>
            </a:rPr>
            <a:t> fortement c</a:t>
          </a:r>
          <a:r>
            <a:rPr lang="fr-BE" sz="1000" i="0">
              <a:latin typeface="+mj-lt"/>
              <a:ea typeface="Microsoft YaHei UI Light" panose="020B0502040204020203" pitchFamily="34" charset="-122"/>
              <a:cs typeface="Microsoft Himalaya" panose="01010100010101010101" pitchFamily="2" charset="0"/>
            </a:rPr>
            <a:t>e temps. Les calculs sont basés sur les références construites dans le cadre du projet OTEl 2 (70 fermes wallonnes enquêtées).</a:t>
          </a:r>
        </a:p>
      </xdr:txBody>
    </xdr:sp>
    <xdr:clientData/>
  </xdr:twoCellAnchor>
  <xdr:twoCellAnchor editAs="oneCell">
    <xdr:from>
      <xdr:col>1</xdr:col>
      <xdr:colOff>721591</xdr:colOff>
      <xdr:row>47</xdr:row>
      <xdr:rowOff>43241</xdr:rowOff>
    </xdr:from>
    <xdr:to>
      <xdr:col>3</xdr:col>
      <xdr:colOff>450850</xdr:colOff>
      <xdr:row>51</xdr:row>
      <xdr:rowOff>54921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591" y="8469691"/>
          <a:ext cx="1253259" cy="748280"/>
        </a:xfrm>
        <a:prstGeom prst="rect">
          <a:avLst/>
        </a:prstGeom>
      </xdr:spPr>
    </xdr:pic>
    <xdr:clientData/>
  </xdr:twoCellAnchor>
  <xdr:twoCellAnchor editAs="oneCell">
    <xdr:from>
      <xdr:col>3</xdr:col>
      <xdr:colOff>473363</xdr:colOff>
      <xdr:row>46</xdr:row>
      <xdr:rowOff>146050</xdr:rowOff>
    </xdr:from>
    <xdr:to>
      <xdr:col>4</xdr:col>
      <xdr:colOff>424054</xdr:colOff>
      <xdr:row>51</xdr:row>
      <xdr:rowOff>17700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9363" y="8388350"/>
          <a:ext cx="712691" cy="792400"/>
        </a:xfrm>
        <a:prstGeom prst="rect">
          <a:avLst/>
        </a:prstGeom>
      </xdr:spPr>
    </xdr:pic>
    <xdr:clientData/>
  </xdr:twoCellAnchor>
  <xdr:twoCellAnchor editAs="oneCell">
    <xdr:from>
      <xdr:col>4</xdr:col>
      <xdr:colOff>417058</xdr:colOff>
      <xdr:row>45</xdr:row>
      <xdr:rowOff>180192</xdr:rowOff>
    </xdr:from>
    <xdr:to>
      <xdr:col>6</xdr:col>
      <xdr:colOff>156187</xdr:colOff>
      <xdr:row>51</xdr:row>
      <xdr:rowOff>180191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4331" y="8262010"/>
          <a:ext cx="760901" cy="1108363"/>
        </a:xfrm>
        <a:prstGeom prst="rect">
          <a:avLst/>
        </a:prstGeom>
      </xdr:spPr>
    </xdr:pic>
    <xdr:clientData/>
  </xdr:twoCellAnchor>
  <xdr:twoCellAnchor editAs="oneCell">
    <xdr:from>
      <xdr:col>6</xdr:col>
      <xdr:colOff>84612</xdr:colOff>
      <xdr:row>46</xdr:row>
      <xdr:rowOff>165348</xdr:rowOff>
    </xdr:from>
    <xdr:to>
      <xdr:col>8</xdr:col>
      <xdr:colOff>10309</xdr:colOff>
      <xdr:row>51</xdr:row>
      <xdr:rowOff>15666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3657" y="8431893"/>
          <a:ext cx="1484334" cy="773955"/>
        </a:xfrm>
        <a:prstGeom prst="rect">
          <a:avLst/>
        </a:prstGeom>
      </xdr:spPr>
    </xdr:pic>
    <xdr:clientData/>
  </xdr:twoCellAnchor>
  <xdr:twoCellAnchor>
    <xdr:from>
      <xdr:col>0</xdr:col>
      <xdr:colOff>95249</xdr:colOff>
      <xdr:row>5</xdr:row>
      <xdr:rowOff>18142</xdr:rowOff>
    </xdr:from>
    <xdr:to>
      <xdr:col>7</xdr:col>
      <xdr:colOff>711200</xdr:colOff>
      <xdr:row>7</xdr:row>
      <xdr:rowOff>114299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95249" y="938892"/>
          <a:ext cx="5422901" cy="464457"/>
        </a:xfrm>
        <a:prstGeom prst="rect">
          <a:avLst/>
        </a:prstGeom>
        <a:solidFill>
          <a:schemeClr val="lt1"/>
        </a:solidFill>
        <a:ln w="19050" cmpd="sng">
          <a:solidFill>
            <a:schemeClr val="lt1">
              <a:shade val="50000"/>
            </a:schemeClr>
          </a:solidFill>
          <a:beve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228600" marR="0" lvl="0" indent="-22860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lphaUcPeriod"/>
            <a:tabLst/>
            <a:defRPr/>
          </a:pPr>
          <a:r>
            <a:rPr lang="fr-BE" sz="1200" b="1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Le questionnaire</a:t>
          </a:r>
          <a:r>
            <a:rPr lang="fr-BE" sz="120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:</a:t>
          </a:r>
          <a:r>
            <a:rPr lang="fr-BE" sz="1200" baseline="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 </a:t>
          </a:r>
          <a:r>
            <a:rPr lang="fr-BE" sz="1050" baseline="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l</a:t>
          </a:r>
          <a:r>
            <a:rPr lang="fr-BE" sz="105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es questions apparaitront au fur et à mesure que vous remplissez le</a:t>
          </a:r>
          <a:r>
            <a:rPr lang="fr-BE" sz="1050" baseline="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 </a:t>
          </a:r>
          <a:r>
            <a:rPr lang="fr-BE" sz="105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questionnaire! Les cases grises</a:t>
          </a:r>
          <a:r>
            <a:rPr lang="fr-BE" sz="1050" baseline="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 indiquent les informations à compléter.</a:t>
          </a:r>
        </a:p>
        <a:p>
          <a:endParaRPr lang="fr-BE" sz="1100"/>
        </a:p>
      </xdr:txBody>
    </xdr:sp>
    <xdr:clientData/>
  </xdr:twoCellAnchor>
  <xdr:twoCellAnchor>
    <xdr:from>
      <xdr:col>0</xdr:col>
      <xdr:colOff>86226</xdr:colOff>
      <xdr:row>35</xdr:row>
      <xdr:rowOff>147452</xdr:rowOff>
    </xdr:from>
    <xdr:to>
      <xdr:col>7</xdr:col>
      <xdr:colOff>698500</xdr:colOff>
      <xdr:row>46</xdr:row>
      <xdr:rowOff>107950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86226" y="6364102"/>
          <a:ext cx="5419224" cy="1986148"/>
        </a:xfrm>
        <a:prstGeom prst="rect">
          <a:avLst/>
        </a:prstGeom>
        <a:solidFill>
          <a:sysClr val="window" lastClr="FFFFFF"/>
        </a:solidFill>
        <a:ln w="19050" cmpd="sng">
          <a:solidFill>
            <a:schemeClr val="lt1">
              <a:shade val="50000"/>
            </a:schemeClr>
          </a:solidFill>
          <a:beve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BE" sz="1200" b="1" baseline="0">
              <a:solidFill>
                <a:sysClr val="windowText" lastClr="000000"/>
              </a:solidFill>
              <a:effectLst/>
              <a:latin typeface="+mj-lt"/>
              <a:ea typeface="+mn-ea"/>
              <a:cs typeface="+mn-cs"/>
            </a:rPr>
            <a:t>B. Les résultats </a:t>
          </a:r>
          <a:r>
            <a:rPr lang="fr-BE" sz="1100" baseline="0">
              <a:solidFill>
                <a:sysClr val="windowText" lastClr="000000"/>
              </a:solidFill>
              <a:effectLst/>
              <a:latin typeface="+mj-lt"/>
              <a:ea typeface="+mn-ea"/>
              <a:cs typeface="+mn-cs"/>
            </a:rPr>
            <a:t>: Sur base des réponses, l'outil calcule un temps de travail prévisionnel. Avoir des </a:t>
          </a:r>
          <a:r>
            <a:rPr lang="fr-BE" sz="1100" b="0" baseline="0">
              <a:solidFill>
                <a:sysClr val="windowText" lastClr="000000"/>
              </a:solidFill>
              <a:effectLst/>
              <a:latin typeface="+mj-lt"/>
              <a:ea typeface="+mn-ea"/>
              <a:cs typeface="+mn-cs"/>
            </a:rPr>
            <a:t>journées trop chargées est peu tenable sur le long terme. </a:t>
          </a:r>
          <a:r>
            <a:rPr lang="fr-BE" sz="1100" b="1" baseline="0">
              <a:solidFill>
                <a:sysClr val="windowText" lastClr="000000"/>
              </a:solidFill>
              <a:effectLst/>
              <a:latin typeface="+mj-lt"/>
              <a:ea typeface="+mn-ea"/>
              <a:cs typeface="+mn-cs"/>
            </a:rPr>
            <a:t>3 grands facteurs peuvent expliquer un temps de travail important </a:t>
          </a:r>
          <a:r>
            <a:rPr lang="fr-BE" sz="1100" b="0" baseline="0">
              <a:solidFill>
                <a:sysClr val="windowText" lastClr="000000"/>
              </a:solidFill>
              <a:effectLst/>
              <a:latin typeface="+mj-lt"/>
              <a:ea typeface="+mn-ea"/>
              <a:cs typeface="+mn-cs"/>
            </a:rPr>
            <a:t>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BE" sz="1100" b="0" baseline="0">
              <a:solidFill>
                <a:sysClr val="windowText" lastClr="000000"/>
              </a:solidFill>
              <a:effectLst/>
              <a:latin typeface="+mj-lt"/>
              <a:ea typeface="+mn-ea"/>
              <a:cs typeface="+mn-cs"/>
            </a:rPr>
            <a:t>- L'efficacité du travail: certains choix techniques (voir en annexe) et la fonctionnalité des bâtiments et de l'équipement influencent fortement le travail d'astreinte.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BE" sz="1100" b="0" baseline="0">
              <a:solidFill>
                <a:sysClr val="windowText" lastClr="000000"/>
              </a:solidFill>
              <a:effectLst/>
              <a:latin typeface="+mj-lt"/>
              <a:ea typeface="+mn-ea"/>
              <a:cs typeface="+mn-cs"/>
            </a:rPr>
            <a:t>- La charge de travail: </a:t>
          </a:r>
          <a:r>
            <a:rPr lang="fr-BE" sz="1100" b="0" i="0" u="none" strike="noStrike" baseline="0">
              <a:solidFill>
                <a:sysClr val="windowText" lastClr="000000"/>
              </a:solidFill>
              <a:effectLst/>
              <a:latin typeface="+mj-lt"/>
              <a:ea typeface="+mn-ea"/>
              <a:cs typeface="+mn-cs"/>
            </a:rPr>
            <a:t> d</a:t>
          </a:r>
          <a:r>
            <a:rPr lang="fr-BE" sz="1100" b="0" i="0" u="none" strike="noStrike">
              <a:solidFill>
                <a:sysClr val="windowText" lastClr="000000"/>
              </a:solidFill>
              <a:effectLst/>
              <a:latin typeface="+mj-lt"/>
              <a:ea typeface="+mn-ea"/>
              <a:cs typeface="+mn-cs"/>
            </a:rPr>
            <a:t>u point de vue "travail", un cheptel d'environ 80 vaches allaitantes ou de 160 UGB par personne est maximal. Veillez</a:t>
          </a:r>
          <a:r>
            <a:rPr lang="fr-BE" sz="1100" b="0" i="0" u="none" strike="noStrike" baseline="0">
              <a:solidFill>
                <a:sysClr val="windowText" lastClr="000000"/>
              </a:solidFill>
              <a:effectLst/>
              <a:latin typeface="+mj-lt"/>
              <a:ea typeface="+mn-ea"/>
              <a:cs typeface="+mn-cs"/>
            </a:rPr>
            <a:t> à faire correspondre la taille de votre collectif de travail et la taille de l'exploitation.</a:t>
          </a:r>
          <a:endParaRPr lang="fr-BE" sz="1100" b="0" i="0" u="none" strike="noStrike">
            <a:solidFill>
              <a:sysClr val="windowText" lastClr="000000"/>
            </a:solidFill>
            <a:effectLst/>
            <a:latin typeface="+mj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BE" sz="1100" b="0" i="0" u="none" strike="noStrike">
              <a:solidFill>
                <a:sysClr val="windowText" lastClr="000000"/>
              </a:solidFill>
              <a:effectLst/>
              <a:latin typeface="+mj-lt"/>
              <a:ea typeface="+mn-ea"/>
              <a:cs typeface="+mn-cs"/>
            </a:rPr>
            <a:t>- La part du travail délégué: attention au bénévolat</a:t>
          </a:r>
          <a:r>
            <a:rPr lang="fr-BE" sz="1100" b="0" i="0" u="none" strike="noStrike" baseline="0">
              <a:solidFill>
                <a:sysClr val="windowText" lastClr="000000"/>
              </a:solidFill>
              <a:effectLst/>
              <a:latin typeface="+mj-lt"/>
              <a:ea typeface="+mn-ea"/>
              <a:cs typeface="+mn-cs"/>
            </a:rPr>
            <a:t> dont la pérénité doit être réfléchie. D'autres formes de main-d'oeuvre existent pour soulager le travail (entreprise, salariat, service de remplacement agricole...).</a:t>
          </a:r>
          <a:endParaRPr lang="fr-BE" sz="1100" b="0">
            <a:solidFill>
              <a:sysClr val="windowText" lastClr="000000"/>
            </a:solidFill>
            <a:effectLst/>
            <a:latin typeface="+mj-lt"/>
          </a:endParaRPr>
        </a:p>
        <a:p>
          <a:endParaRPr lang="fr-BE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G127"/>
  <sheetViews>
    <sheetView showGridLines="0" showRowColHeaders="0" tabSelected="1" showWhiteSpace="0" zoomScale="90" zoomScaleNormal="90" zoomScaleSheetLayoutView="90" zoomScalePageLayoutView="10" workbookViewId="0">
      <selection activeCell="J12" sqref="J12"/>
    </sheetView>
  </sheetViews>
  <sheetFormatPr baseColWidth="10" defaultColWidth="11.42578125" defaultRowHeight="15" x14ac:dyDescent="0.25"/>
  <cols>
    <col min="1" max="1" width="11.5703125" customWidth="1"/>
    <col min="2" max="2" width="14.140625" customWidth="1"/>
    <col min="3" max="3" width="12.42578125" customWidth="1"/>
    <col min="4" max="4" width="8.85546875" customWidth="1"/>
    <col min="5" max="5" width="26.140625" customWidth="1"/>
    <col min="6" max="6" width="10.42578125" customWidth="1"/>
    <col min="135" max="137" width="11.42578125" style="101"/>
  </cols>
  <sheetData>
    <row r="1" spans="1:6" x14ac:dyDescent="0.25">
      <c r="A1" s="9"/>
      <c r="B1" s="9"/>
      <c r="C1" s="9"/>
      <c r="D1" s="9"/>
      <c r="E1" s="9"/>
      <c r="F1" s="9"/>
    </row>
    <row r="2" spans="1:6" ht="21" customHeight="1" x14ac:dyDescent="0.4">
      <c r="A2" s="189" t="s">
        <v>0</v>
      </c>
      <c r="B2" s="189"/>
      <c r="C2" s="189"/>
      <c r="D2" s="189"/>
      <c r="E2" s="189"/>
      <c r="F2" s="189"/>
    </row>
    <row r="3" spans="1:6" x14ac:dyDescent="0.25">
      <c r="A3" s="192" t="s">
        <v>215</v>
      </c>
      <c r="B3" s="192"/>
      <c r="C3" s="192"/>
      <c r="D3" s="192"/>
      <c r="E3" s="192"/>
      <c r="F3" s="192"/>
    </row>
    <row r="4" spans="1:6" ht="15.75" thickBot="1" x14ac:dyDescent="0.3">
      <c r="A4" s="12"/>
      <c r="B4" s="12"/>
      <c r="C4" s="12"/>
      <c r="D4" s="12"/>
      <c r="E4" s="12"/>
      <c r="F4" s="12"/>
    </row>
    <row r="5" spans="1:6" ht="14.1" customHeight="1" thickTop="1" thickBot="1" x14ac:dyDescent="0.3">
      <c r="A5" s="193" t="s">
        <v>1</v>
      </c>
      <c r="B5" s="193"/>
      <c r="C5" s="193"/>
      <c r="D5" s="193"/>
      <c r="E5" s="89"/>
      <c r="F5" s="14"/>
    </row>
    <row r="6" spans="1:6" ht="9.9499999999999993" customHeight="1" thickTop="1" thickBot="1" x14ac:dyDescent="0.3">
      <c r="A6" s="13"/>
      <c r="B6" s="12"/>
      <c r="C6" s="12"/>
      <c r="D6" s="12"/>
      <c r="E6" s="12"/>
      <c r="F6" s="13"/>
    </row>
    <row r="7" spans="1:6" ht="14.1" customHeight="1" thickTop="1" thickBot="1" x14ac:dyDescent="0.3">
      <c r="A7" s="193" t="s">
        <v>124</v>
      </c>
      <c r="B7" s="193"/>
      <c r="C7" s="193"/>
      <c r="D7" s="194"/>
      <c r="E7" s="53"/>
      <c r="F7" s="15" t="s">
        <v>3</v>
      </c>
    </row>
    <row r="8" spans="1:6" ht="9.9499999999999993" customHeight="1" thickTop="1" thickBot="1" x14ac:dyDescent="0.3">
      <c r="A8" s="13"/>
      <c r="B8" s="13"/>
      <c r="C8" s="22"/>
      <c r="D8" s="22"/>
      <c r="E8" s="22"/>
      <c r="F8" s="13"/>
    </row>
    <row r="9" spans="1:6" ht="14.1" customHeight="1" thickTop="1" thickBot="1" x14ac:dyDescent="0.3">
      <c r="A9" s="193" t="s">
        <v>2</v>
      </c>
      <c r="B9" s="193"/>
      <c r="C9" s="193"/>
      <c r="D9" s="193"/>
      <c r="E9" s="53"/>
      <c r="F9" s="15" t="s">
        <v>3</v>
      </c>
    </row>
    <row r="10" spans="1:6" ht="15.75" thickTop="1" x14ac:dyDescent="0.25">
      <c r="A10" s="14"/>
      <c r="B10" s="14"/>
      <c r="C10" s="14"/>
      <c r="D10" s="14"/>
      <c r="E10" s="14"/>
      <c r="F10" s="14"/>
    </row>
    <row r="11" spans="1:6" x14ac:dyDescent="0.25">
      <c r="A11" s="26"/>
      <c r="B11" s="19"/>
      <c r="C11" s="19"/>
      <c r="D11" s="19"/>
      <c r="E11" s="162"/>
      <c r="F11" s="19"/>
    </row>
    <row r="12" spans="1:6" x14ac:dyDescent="0.25">
      <c r="A12" s="190" t="s">
        <v>214</v>
      </c>
      <c r="B12" s="190"/>
      <c r="C12" s="190"/>
      <c r="D12" s="190"/>
      <c r="E12" s="190"/>
      <c r="F12" s="190"/>
    </row>
    <row r="13" spans="1:6" ht="4.5" customHeight="1" thickBot="1" x14ac:dyDescent="0.3">
      <c r="A13" s="145"/>
      <c r="B13" s="145"/>
      <c r="C13" s="145"/>
      <c r="D13" s="145"/>
      <c r="E13" s="18"/>
      <c r="F13" s="18"/>
    </row>
    <row r="14" spans="1:6" ht="15.6" customHeight="1" thickTop="1" thickBot="1" x14ac:dyDescent="0.3">
      <c r="A14" s="191" t="s">
        <v>86</v>
      </c>
      <c r="B14" s="191"/>
      <c r="C14" s="191"/>
      <c r="D14" s="191"/>
      <c r="E14" s="149"/>
      <c r="F14" s="21"/>
    </row>
    <row r="15" spans="1:6" ht="4.5" customHeight="1" thickTop="1" thickBot="1" x14ac:dyDescent="0.3">
      <c r="A15" s="148"/>
      <c r="B15" s="148"/>
      <c r="C15" s="148"/>
      <c r="D15" s="148"/>
      <c r="E15" s="11"/>
      <c r="F15" s="31"/>
    </row>
    <row r="16" spans="1:6" ht="15.6" customHeight="1" thickTop="1" thickBot="1" x14ac:dyDescent="0.3">
      <c r="A16" s="191" t="s">
        <v>14</v>
      </c>
      <c r="B16" s="191"/>
      <c r="C16" s="191"/>
      <c r="D16" s="191"/>
      <c r="E16" s="150"/>
      <c r="F16" s="159"/>
    </row>
    <row r="17" spans="1:6" ht="4.5" customHeight="1" thickTop="1" thickBot="1" x14ac:dyDescent="0.3">
      <c r="A17" s="147"/>
      <c r="B17" s="147"/>
      <c r="C17" s="147"/>
      <c r="D17" s="147"/>
      <c r="E17" s="11"/>
      <c r="F17" s="159"/>
    </row>
    <row r="18" spans="1:6" ht="16.5" thickTop="1" thickBot="1" x14ac:dyDescent="0.3">
      <c r="A18" s="191" t="s">
        <v>16</v>
      </c>
      <c r="B18" s="191"/>
      <c r="C18" s="191"/>
      <c r="D18" s="191"/>
      <c r="E18" s="150"/>
      <c r="F18" s="161" t="s">
        <v>204</v>
      </c>
    </row>
    <row r="19" spans="1:6" ht="4.5" customHeight="1" thickTop="1" thickBot="1" x14ac:dyDescent="0.3">
      <c r="A19" s="147"/>
      <c r="B19" s="147"/>
      <c r="C19" s="147"/>
      <c r="D19" s="147"/>
      <c r="E19" s="11"/>
      <c r="F19" s="159"/>
    </row>
    <row r="20" spans="1:6" ht="16.5" thickTop="1" thickBot="1" x14ac:dyDescent="0.3">
      <c r="A20" s="191" t="s">
        <v>87</v>
      </c>
      <c r="B20" s="191"/>
      <c r="C20" s="191"/>
      <c r="D20" s="191"/>
      <c r="E20" s="149"/>
      <c r="F20" s="158" t="s">
        <v>229</v>
      </c>
    </row>
    <row r="21" spans="1:6" ht="4.5" customHeight="1" thickTop="1" thickBot="1" x14ac:dyDescent="0.3">
      <c r="A21" s="147"/>
      <c r="B21" s="147"/>
      <c r="C21" s="147"/>
      <c r="D21" s="147"/>
      <c r="E21" s="11"/>
      <c r="F21" s="159"/>
    </row>
    <row r="22" spans="1:6" ht="16.5" thickTop="1" thickBot="1" x14ac:dyDescent="0.3">
      <c r="A22" s="191" t="s">
        <v>24</v>
      </c>
      <c r="B22" s="191"/>
      <c r="C22" s="191"/>
      <c r="D22" s="191"/>
      <c r="E22" s="149"/>
      <c r="F22" s="158" t="s">
        <v>206</v>
      </c>
    </row>
    <row r="23" spans="1:6" ht="15.75" thickTop="1" x14ac:dyDescent="0.25">
      <c r="A23" s="199" t="s">
        <v>213</v>
      </c>
      <c r="B23" s="199"/>
      <c r="C23" s="199"/>
      <c r="D23" s="199"/>
      <c r="E23" s="199"/>
      <c r="F23" s="199"/>
    </row>
    <row r="24" spans="1:6" ht="4.5" customHeight="1" thickBot="1" x14ac:dyDescent="0.3">
      <c r="A24" s="146"/>
      <c r="B24" s="146"/>
      <c r="C24" s="146"/>
      <c r="D24" s="146"/>
      <c r="E24" s="11"/>
      <c r="F24" s="11"/>
    </row>
    <row r="25" spans="1:6" ht="16.5" thickTop="1" thickBot="1" x14ac:dyDescent="0.3">
      <c r="A25" s="191" t="s">
        <v>170</v>
      </c>
      <c r="B25" s="191"/>
      <c r="C25" s="191"/>
      <c r="D25" s="191"/>
      <c r="E25" s="149"/>
      <c r="F25" s="158" t="s">
        <v>205</v>
      </c>
    </row>
    <row r="26" spans="1:6" ht="3.95" customHeight="1" thickTop="1" thickBot="1" x14ac:dyDescent="0.3">
      <c r="A26" s="147"/>
      <c r="B26" s="147"/>
      <c r="C26" s="147"/>
      <c r="D26" s="147"/>
      <c r="E26" s="11"/>
      <c r="F26" s="159"/>
    </row>
    <row r="27" spans="1:6" ht="16.5" thickTop="1" thickBot="1" x14ac:dyDescent="0.3">
      <c r="A27" s="191" t="s">
        <v>171</v>
      </c>
      <c r="B27" s="191"/>
      <c r="C27" s="191"/>
      <c r="D27" s="191"/>
      <c r="E27" s="149"/>
      <c r="F27" s="159"/>
    </row>
    <row r="28" spans="1:6" ht="4.5" customHeight="1" thickTop="1" thickBot="1" x14ac:dyDescent="0.3">
      <c r="A28" s="147"/>
      <c r="B28" s="147"/>
      <c r="C28" s="147"/>
      <c r="D28" s="147"/>
      <c r="E28" s="11"/>
      <c r="F28" s="159"/>
    </row>
    <row r="29" spans="1:6" ht="16.5" thickTop="1" thickBot="1" x14ac:dyDescent="0.3">
      <c r="A29" s="191" t="s">
        <v>172</v>
      </c>
      <c r="B29" s="191"/>
      <c r="C29" s="191"/>
      <c r="D29" s="191"/>
      <c r="E29" s="149"/>
      <c r="F29" s="158" t="s">
        <v>207</v>
      </c>
    </row>
    <row r="30" spans="1:6" ht="4.5" customHeight="1" thickTop="1" thickBot="1" x14ac:dyDescent="0.3">
      <c r="A30" s="147"/>
      <c r="B30" s="147"/>
      <c r="C30" s="147"/>
      <c r="D30" s="147"/>
      <c r="E30" s="11"/>
      <c r="F30" s="159"/>
    </row>
    <row r="31" spans="1:6" ht="16.5" thickTop="1" thickBot="1" x14ac:dyDescent="0.3">
      <c r="A31" s="191" t="s">
        <v>173</v>
      </c>
      <c r="B31" s="191"/>
      <c r="C31" s="191"/>
      <c r="D31" s="191"/>
      <c r="E31" s="149"/>
      <c r="F31" s="158" t="s">
        <v>228</v>
      </c>
    </row>
    <row r="32" spans="1:6" ht="15.75" thickTop="1" x14ac:dyDescent="0.25">
      <c r="A32" s="198" t="s">
        <v>7</v>
      </c>
      <c r="B32" s="198"/>
      <c r="C32" s="198"/>
      <c r="D32" s="198"/>
      <c r="E32" s="198"/>
      <c r="F32" s="198"/>
    </row>
    <row r="33" spans="1:6" x14ac:dyDescent="0.25">
      <c r="A33" s="195" t="s">
        <v>97</v>
      </c>
      <c r="B33" s="196"/>
      <c r="C33" s="196"/>
      <c r="D33" s="196"/>
      <c r="E33" s="196"/>
      <c r="F33" s="197"/>
    </row>
    <row r="34" spans="1:6" x14ac:dyDescent="0.25">
      <c r="A34" s="44" t="s">
        <v>230</v>
      </c>
      <c r="B34" s="24"/>
      <c r="C34" s="79" t="e">
        <f>CF!ER42</f>
        <v>#DIV/0!</v>
      </c>
      <c r="D34" s="40" t="s">
        <v>95</v>
      </c>
      <c r="E34" s="41" t="e">
        <f>C34/52</f>
        <v>#DIV/0!</v>
      </c>
      <c r="F34" s="45" t="s">
        <v>96</v>
      </c>
    </row>
    <row r="35" spans="1:6" x14ac:dyDescent="0.25">
      <c r="A35" s="39"/>
      <c r="B35" s="6"/>
      <c r="C35" s="7"/>
      <c r="D35" s="39"/>
      <c r="E35" s="6"/>
      <c r="F35" s="7"/>
    </row>
    <row r="36" spans="1:6" x14ac:dyDescent="0.25">
      <c r="A36" s="1"/>
      <c r="B36" s="24"/>
      <c r="C36" s="2"/>
      <c r="D36" s="1"/>
      <c r="E36" s="24"/>
      <c r="F36" s="2"/>
    </row>
    <row r="37" spans="1:6" x14ac:dyDescent="0.25">
      <c r="A37" s="1"/>
      <c r="B37" s="24"/>
      <c r="C37" s="2"/>
      <c r="D37" s="1"/>
      <c r="E37" s="24"/>
      <c r="F37" s="78"/>
    </row>
    <row r="38" spans="1:6" x14ac:dyDescent="0.25">
      <c r="A38" s="1"/>
      <c r="B38" s="24"/>
      <c r="C38" s="2"/>
      <c r="D38" s="1"/>
      <c r="E38" s="24"/>
      <c r="F38" s="2"/>
    </row>
    <row r="39" spans="1:6" x14ac:dyDescent="0.25">
      <c r="A39" s="1"/>
      <c r="B39" s="24"/>
      <c r="C39" s="2"/>
      <c r="D39" s="1"/>
      <c r="E39" s="24"/>
      <c r="F39" s="2"/>
    </row>
    <row r="40" spans="1:6" x14ac:dyDescent="0.25">
      <c r="A40" s="1"/>
      <c r="B40" s="24"/>
      <c r="C40" s="2"/>
      <c r="D40" s="1"/>
      <c r="E40" s="24"/>
      <c r="F40" s="2"/>
    </row>
    <row r="41" spans="1:6" x14ac:dyDescent="0.25">
      <c r="A41" s="1"/>
      <c r="B41" s="24"/>
      <c r="C41" s="2"/>
      <c r="D41" s="1"/>
      <c r="E41" s="24"/>
      <c r="F41" s="2"/>
    </row>
    <row r="42" spans="1:6" x14ac:dyDescent="0.25">
      <c r="A42" s="1"/>
      <c r="B42" s="24"/>
      <c r="C42" s="2"/>
      <c r="D42" s="1"/>
      <c r="E42" s="24"/>
      <c r="F42" s="2"/>
    </row>
    <row r="43" spans="1:6" x14ac:dyDescent="0.25">
      <c r="A43" s="1"/>
      <c r="B43" s="24"/>
      <c r="C43" s="2"/>
      <c r="D43" s="1"/>
      <c r="E43" s="24"/>
      <c r="F43" s="2"/>
    </row>
    <row r="44" spans="1:6" ht="14.45" customHeight="1" x14ac:dyDescent="0.25">
      <c r="A44" s="170" t="e">
        <f>IF(CF!ER43&gt;5,CF!EM47,IF(AND(CF!ER43&lt;4,CF!ER43&gt;0),CF!EM49,IF(CF!ER43=0,CF!EM51,CF!EM50)))</f>
        <v>#DIV/0!</v>
      </c>
      <c r="B44" s="171"/>
      <c r="C44" s="172"/>
      <c r="D44" s="178" t="str">
        <f>IF(E9&gt;=15,CF!EM45,IF(AND(E9&lt;15,E9&gt;=0),"",CF!EM51))</f>
        <v/>
      </c>
      <c r="E44" s="179"/>
      <c r="F44" s="180"/>
    </row>
    <row r="45" spans="1:6" ht="26.45" customHeight="1" x14ac:dyDescent="0.25">
      <c r="A45" s="173"/>
      <c r="B45" s="174"/>
      <c r="C45" s="175"/>
      <c r="D45" s="181"/>
      <c r="E45" s="182"/>
      <c r="F45" s="183"/>
    </row>
    <row r="46" spans="1:6" x14ac:dyDescent="0.25">
      <c r="A46" s="49"/>
      <c r="B46" s="49"/>
      <c r="C46" s="49"/>
      <c r="D46" s="25"/>
      <c r="E46" s="25"/>
      <c r="F46" s="25"/>
    </row>
    <row r="47" spans="1:6" x14ac:dyDescent="0.25">
      <c r="A47" s="184" t="s">
        <v>211</v>
      </c>
      <c r="B47" s="184"/>
      <c r="C47" s="184"/>
      <c r="D47" s="184"/>
      <c r="E47" s="184"/>
      <c r="F47" s="184"/>
    </row>
    <row r="48" spans="1:6" ht="3" customHeight="1" thickBot="1" x14ac:dyDescent="0.3">
      <c r="A48" s="141"/>
      <c r="B48" s="141"/>
      <c r="C48" s="27"/>
      <c r="D48" s="27"/>
      <c r="E48" s="16"/>
      <c r="F48" s="16"/>
    </row>
    <row r="49" spans="1:6" ht="12.95" customHeight="1" thickTop="1" thickBot="1" x14ac:dyDescent="0.3">
      <c r="A49" s="169" t="s">
        <v>40</v>
      </c>
      <c r="B49" s="169"/>
      <c r="C49" s="144"/>
      <c r="D49" s="176" t="s">
        <v>41</v>
      </c>
      <c r="E49" s="177"/>
      <c r="F49" s="93"/>
    </row>
    <row r="50" spans="1:6" ht="4.5" customHeight="1" thickTop="1" thickBot="1" x14ac:dyDescent="0.3">
      <c r="A50" s="142"/>
      <c r="B50" s="142"/>
      <c r="C50" s="28"/>
      <c r="D50" s="28"/>
      <c r="E50" s="20"/>
      <c r="F50" s="20"/>
    </row>
    <row r="51" spans="1:6" ht="12.95" customHeight="1" thickTop="1" thickBot="1" x14ac:dyDescent="0.3">
      <c r="A51" s="169" t="s">
        <v>44</v>
      </c>
      <c r="B51" s="169"/>
      <c r="C51" s="144"/>
      <c r="D51" s="169" t="s">
        <v>45</v>
      </c>
      <c r="E51" s="200"/>
      <c r="F51" s="54"/>
    </row>
    <row r="52" spans="1:6" ht="4.5" customHeight="1" thickTop="1" x14ac:dyDescent="0.25">
      <c r="A52" s="143"/>
      <c r="B52" s="143"/>
      <c r="C52" s="16"/>
      <c r="D52" s="16"/>
      <c r="E52" s="20"/>
      <c r="F52" s="20"/>
    </row>
    <row r="53" spans="1:6" ht="12" customHeight="1" thickBot="1" x14ac:dyDescent="0.3">
      <c r="A53" s="201" t="s">
        <v>164</v>
      </c>
      <c r="B53" s="201"/>
      <c r="C53" s="201"/>
      <c r="D53" s="201"/>
      <c r="E53" s="201"/>
      <c r="F53" s="201"/>
    </row>
    <row r="54" spans="1:6" ht="4.5" hidden="1" customHeight="1" thickBot="1" x14ac:dyDescent="0.3">
      <c r="A54" s="17"/>
      <c r="B54" s="11"/>
      <c r="C54" s="11"/>
      <c r="D54" s="11"/>
      <c r="E54" s="23"/>
      <c r="F54" s="23"/>
    </row>
    <row r="55" spans="1:6" ht="12.95" customHeight="1" thickTop="1" thickBot="1" x14ac:dyDescent="0.3">
      <c r="A55" s="185" t="s">
        <v>47</v>
      </c>
      <c r="B55" s="169"/>
      <c r="C55" s="54"/>
      <c r="D55" s="20"/>
      <c r="E55" s="20" t="s">
        <v>48</v>
      </c>
      <c r="F55" s="54"/>
    </row>
    <row r="56" spans="1:6" ht="4.5" customHeight="1" thickTop="1" thickBot="1" x14ac:dyDescent="0.3">
      <c r="A56" s="20"/>
      <c r="B56" s="20"/>
      <c r="C56" s="20"/>
      <c r="D56" s="20"/>
      <c r="E56" s="20"/>
      <c r="F56" s="20"/>
    </row>
    <row r="57" spans="1:6" ht="12.95" customHeight="1" thickTop="1" thickBot="1" x14ac:dyDescent="0.3">
      <c r="A57" s="185" t="s">
        <v>52</v>
      </c>
      <c r="B57" s="169"/>
      <c r="C57" s="54"/>
      <c r="D57" s="20"/>
      <c r="E57" s="20" t="s">
        <v>53</v>
      </c>
      <c r="F57" s="54"/>
    </row>
    <row r="58" spans="1:6" ht="4.5" customHeight="1" thickTop="1" thickBot="1" x14ac:dyDescent="0.3">
      <c r="A58" s="20"/>
      <c r="B58" s="20"/>
      <c r="C58" s="20"/>
      <c r="D58" s="20"/>
      <c r="E58" s="20"/>
      <c r="F58" s="20"/>
    </row>
    <row r="59" spans="1:6" ht="12.95" customHeight="1" thickTop="1" thickBot="1" x14ac:dyDescent="0.3">
      <c r="A59" s="185" t="s">
        <v>56</v>
      </c>
      <c r="B59" s="169"/>
      <c r="C59" s="54"/>
      <c r="D59" s="20"/>
      <c r="E59" s="20" t="s">
        <v>57</v>
      </c>
      <c r="F59" s="54"/>
    </row>
    <row r="60" spans="1:6" ht="3.95" customHeight="1" thickTop="1" thickBot="1" x14ac:dyDescent="0.3">
      <c r="A60" s="20"/>
      <c r="B60" s="20"/>
      <c r="C60" s="20"/>
      <c r="D60" s="20"/>
      <c r="E60" s="20"/>
      <c r="F60" s="20"/>
    </row>
    <row r="61" spans="1:6" ht="12.95" customHeight="1" thickTop="1" thickBot="1" x14ac:dyDescent="0.3">
      <c r="A61" s="185" t="s">
        <v>59</v>
      </c>
      <c r="B61" s="169"/>
      <c r="C61" s="54"/>
      <c r="D61" s="20"/>
      <c r="E61" s="20" t="s">
        <v>60</v>
      </c>
      <c r="F61" s="54"/>
    </row>
    <row r="62" spans="1:6" ht="4.5" customHeight="1" thickTop="1" thickBot="1" x14ac:dyDescent="0.3">
      <c r="A62" s="20"/>
      <c r="B62" s="20"/>
      <c r="C62" s="20"/>
      <c r="D62" s="20"/>
      <c r="E62" s="20"/>
      <c r="F62" s="20"/>
    </row>
    <row r="63" spans="1:6" ht="12.95" customHeight="1" thickTop="1" thickBot="1" x14ac:dyDescent="0.3">
      <c r="A63" s="185" t="s">
        <v>63</v>
      </c>
      <c r="B63" s="169"/>
      <c r="C63" s="54"/>
      <c r="D63" s="20"/>
      <c r="E63" s="20" t="s">
        <v>64</v>
      </c>
      <c r="F63" s="54"/>
    </row>
    <row r="64" spans="1:6" ht="12.95" customHeight="1" thickTop="1" x14ac:dyDescent="0.25">
      <c r="A64" s="202" t="s">
        <v>7</v>
      </c>
      <c r="B64" s="202"/>
      <c r="C64" s="202"/>
      <c r="D64" s="202"/>
      <c r="E64" s="202"/>
      <c r="F64" s="202"/>
    </row>
    <row r="65" spans="1:6" ht="12.95" customHeight="1" x14ac:dyDescent="0.25">
      <c r="A65" s="203" t="s">
        <v>212</v>
      </c>
      <c r="B65" s="203"/>
      <c r="C65" s="203"/>
      <c r="D65" s="203"/>
      <c r="E65" s="203"/>
      <c r="F65" s="203"/>
    </row>
    <row r="66" spans="1:6" ht="3.6" customHeight="1" thickBot="1" x14ac:dyDescent="0.3">
      <c r="A66" s="29"/>
      <c r="B66" s="29"/>
      <c r="C66" s="29"/>
      <c r="D66" s="29"/>
      <c r="E66" s="29"/>
      <c r="F66" s="29"/>
    </row>
    <row r="67" spans="1:6" ht="12.95" customHeight="1" thickTop="1" thickBot="1" x14ac:dyDescent="0.3">
      <c r="A67" s="186" t="s">
        <v>67</v>
      </c>
      <c r="B67" s="186"/>
      <c r="C67" s="163"/>
      <c r="D67" s="186" t="s">
        <v>68</v>
      </c>
      <c r="E67" s="187"/>
      <c r="F67" s="164"/>
    </row>
    <row r="68" spans="1:6" ht="3.6" customHeight="1" thickTop="1" x14ac:dyDescent="0.25">
      <c r="A68" s="75"/>
      <c r="B68" s="75"/>
      <c r="C68" s="29"/>
      <c r="D68" s="29"/>
      <c r="E68" s="29"/>
      <c r="F68" s="29"/>
    </row>
    <row r="69" spans="1:6" ht="12.95" customHeight="1" thickBot="1" x14ac:dyDescent="0.3">
      <c r="A69" s="204" t="s">
        <v>209</v>
      </c>
      <c r="B69" s="204"/>
      <c r="C69" s="204"/>
      <c r="D69" s="204"/>
      <c r="E69" s="204"/>
      <c r="F69" s="204"/>
    </row>
    <row r="70" spans="1:6" ht="12.95" customHeight="1" thickTop="1" thickBot="1" x14ac:dyDescent="0.3">
      <c r="A70" s="187" t="s">
        <v>47</v>
      </c>
      <c r="B70" s="186"/>
      <c r="C70" s="55"/>
      <c r="D70" s="186" t="s">
        <v>63</v>
      </c>
      <c r="E70" s="187"/>
      <c r="F70" s="55"/>
    </row>
    <row r="71" spans="1:6" ht="3" customHeight="1" thickTop="1" thickBot="1" x14ac:dyDescent="0.3">
      <c r="A71" s="29"/>
      <c r="B71" s="29"/>
      <c r="C71" s="29"/>
      <c r="D71" s="29"/>
      <c r="E71" s="29"/>
      <c r="F71" s="29"/>
    </row>
    <row r="72" spans="1:6" ht="12.95" customHeight="1" thickTop="1" thickBot="1" x14ac:dyDescent="0.3">
      <c r="A72" s="187" t="s">
        <v>52</v>
      </c>
      <c r="B72" s="186"/>
      <c r="C72" s="55"/>
      <c r="D72" s="186" t="s">
        <v>60</v>
      </c>
      <c r="E72" s="187"/>
      <c r="F72" s="55"/>
    </row>
    <row r="73" spans="1:6" ht="3.95" customHeight="1" thickTop="1" thickBot="1" x14ac:dyDescent="0.3">
      <c r="A73" s="29"/>
      <c r="B73" s="29"/>
      <c r="C73" s="29"/>
      <c r="D73" s="29"/>
      <c r="E73" s="29"/>
      <c r="F73" s="29"/>
    </row>
    <row r="74" spans="1:6" ht="12.95" customHeight="1" thickTop="1" thickBot="1" x14ac:dyDescent="0.3">
      <c r="A74" s="187" t="s">
        <v>69</v>
      </c>
      <c r="B74" s="186"/>
      <c r="C74" s="55"/>
      <c r="D74" s="186" t="s">
        <v>70</v>
      </c>
      <c r="E74" s="187"/>
      <c r="F74" s="55"/>
    </row>
    <row r="75" spans="1:6" ht="3.95" customHeight="1" thickTop="1" thickBot="1" x14ac:dyDescent="0.3">
      <c r="A75" s="29"/>
      <c r="B75" s="29"/>
      <c r="C75" s="29"/>
      <c r="D75" s="29"/>
      <c r="E75" s="29"/>
      <c r="F75" s="29"/>
    </row>
    <row r="76" spans="1:6" ht="12.95" customHeight="1" thickTop="1" thickBot="1" x14ac:dyDescent="0.3">
      <c r="A76" s="187" t="s">
        <v>71</v>
      </c>
      <c r="B76" s="186"/>
      <c r="C76" s="55"/>
      <c r="D76" s="188"/>
      <c r="E76" s="188"/>
      <c r="F76" s="29"/>
    </row>
    <row r="77" spans="1:6" ht="3.95" hidden="1" customHeight="1" thickTop="1" x14ac:dyDescent="0.25">
      <c r="A77" s="10"/>
      <c r="B77" s="10"/>
      <c r="C77" s="10"/>
      <c r="D77" s="10"/>
      <c r="E77" s="10"/>
      <c r="F77" s="10"/>
    </row>
    <row r="78" spans="1:6" ht="16.5" thickTop="1" thickBot="1" x14ac:dyDescent="0.3">
      <c r="A78" s="204" t="s">
        <v>210</v>
      </c>
      <c r="B78" s="204"/>
      <c r="C78" s="204"/>
      <c r="D78" s="204"/>
      <c r="E78" s="204"/>
      <c r="F78" s="204"/>
    </row>
    <row r="79" spans="1:6" ht="3.95" hidden="1" customHeight="1" thickBot="1" x14ac:dyDescent="0.3">
      <c r="A79" s="10"/>
      <c r="B79" s="10"/>
      <c r="C79" s="10"/>
      <c r="D79" s="10"/>
      <c r="E79" s="10"/>
      <c r="F79" s="10"/>
    </row>
    <row r="80" spans="1:6" ht="12.95" customHeight="1" thickTop="1" thickBot="1" x14ac:dyDescent="0.3">
      <c r="A80" s="187" t="s">
        <v>47</v>
      </c>
      <c r="B80" s="186"/>
      <c r="C80" s="55"/>
      <c r="D80" s="29"/>
      <c r="E80" s="29" t="s">
        <v>63</v>
      </c>
      <c r="F80" s="55"/>
    </row>
    <row r="81" spans="1:6" ht="3.95" customHeight="1" thickTop="1" thickBot="1" x14ac:dyDescent="0.3">
      <c r="A81" s="29"/>
      <c r="B81" s="29"/>
      <c r="C81" s="29"/>
      <c r="D81" s="29"/>
      <c r="E81" s="36"/>
      <c r="F81" s="36"/>
    </row>
    <row r="82" spans="1:6" ht="12.95" customHeight="1" thickTop="1" thickBot="1" x14ac:dyDescent="0.3">
      <c r="A82" s="187" t="s">
        <v>72</v>
      </c>
      <c r="B82" s="186"/>
      <c r="C82" s="55"/>
      <c r="D82" s="29"/>
      <c r="E82" s="29" t="s">
        <v>73</v>
      </c>
      <c r="F82" s="55"/>
    </row>
    <row r="83" spans="1:6" ht="3.95" customHeight="1" thickTop="1" thickBot="1" x14ac:dyDescent="0.3">
      <c r="A83" s="29"/>
      <c r="B83" s="29"/>
      <c r="C83" s="29"/>
      <c r="D83" s="29"/>
      <c r="E83" s="29" t="s">
        <v>47</v>
      </c>
      <c r="F83" s="29" t="s">
        <v>15</v>
      </c>
    </row>
    <row r="84" spans="1:6" ht="12.95" customHeight="1" thickTop="1" thickBot="1" x14ac:dyDescent="0.3">
      <c r="A84" s="187" t="s">
        <v>74</v>
      </c>
      <c r="B84" s="186"/>
      <c r="C84" s="55"/>
      <c r="D84" s="29"/>
      <c r="E84" s="29" t="s">
        <v>75</v>
      </c>
      <c r="F84" s="55"/>
    </row>
    <row r="85" spans="1:6" ht="3.95" customHeight="1" thickTop="1" thickBot="1" x14ac:dyDescent="0.3">
      <c r="A85" s="29"/>
      <c r="B85" s="29"/>
      <c r="C85" s="29"/>
      <c r="D85" s="29"/>
      <c r="E85" s="29"/>
      <c r="F85" s="29" t="s">
        <v>15</v>
      </c>
    </row>
    <row r="86" spans="1:6" ht="12.95" customHeight="1" thickTop="1" thickBot="1" x14ac:dyDescent="0.3">
      <c r="A86" s="187" t="s">
        <v>71</v>
      </c>
      <c r="B86" s="186"/>
      <c r="C86" s="55"/>
      <c r="D86" s="29"/>
      <c r="E86" s="29" t="s">
        <v>70</v>
      </c>
      <c r="F86" s="55"/>
    </row>
    <row r="87" spans="1:6" ht="12.95" customHeight="1" thickTop="1" x14ac:dyDescent="0.25">
      <c r="A87" s="216" t="s">
        <v>216</v>
      </c>
      <c r="B87" s="216"/>
      <c r="C87" s="216"/>
      <c r="D87" s="216"/>
      <c r="E87" s="216"/>
      <c r="F87" s="216"/>
    </row>
    <row r="88" spans="1:6" ht="12.95" customHeight="1" x14ac:dyDescent="0.25">
      <c r="A88" s="195" t="s">
        <v>128</v>
      </c>
      <c r="B88" s="209"/>
      <c r="C88" s="209"/>
      <c r="D88" s="209"/>
      <c r="E88" s="209"/>
      <c r="F88" s="210"/>
    </row>
    <row r="89" spans="1:6" ht="12.95" customHeight="1" x14ac:dyDescent="0.25">
      <c r="A89" s="134"/>
      <c r="B89" s="218" t="s">
        <v>202</v>
      </c>
      <c r="C89" s="218"/>
      <c r="D89" s="135">
        <f>CF!EP92</f>
        <v>0</v>
      </c>
      <c r="E89" s="136" t="s">
        <v>201</v>
      </c>
      <c r="F89" s="137"/>
    </row>
    <row r="90" spans="1:6" ht="12.95" customHeight="1" x14ac:dyDescent="0.25">
      <c r="A90" s="47"/>
      <c r="B90" s="32"/>
      <c r="C90" s="32"/>
      <c r="D90" s="32"/>
      <c r="E90" s="32"/>
      <c r="F90" s="43"/>
    </row>
    <row r="91" spans="1:6" ht="12.95" customHeight="1" x14ac:dyDescent="0.25">
      <c r="A91" s="47"/>
      <c r="B91" s="32"/>
      <c r="C91" s="32"/>
      <c r="D91" s="32"/>
      <c r="E91" s="32"/>
      <c r="F91" s="43"/>
    </row>
    <row r="92" spans="1:6" ht="12.95" customHeight="1" x14ac:dyDescent="0.25">
      <c r="A92" s="47"/>
      <c r="B92" s="32"/>
      <c r="C92" s="32"/>
      <c r="D92" s="32"/>
      <c r="E92" s="32"/>
      <c r="F92" s="43"/>
    </row>
    <row r="93" spans="1:6" ht="12.95" customHeight="1" x14ac:dyDescent="0.25">
      <c r="A93" s="47"/>
      <c r="B93" s="32"/>
      <c r="C93" s="32"/>
      <c r="D93" s="32"/>
      <c r="E93" s="32"/>
      <c r="F93" s="43"/>
    </row>
    <row r="94" spans="1:6" ht="12.95" customHeight="1" x14ac:dyDescent="0.25">
      <c r="A94" s="47"/>
      <c r="B94" s="32"/>
      <c r="C94" s="32"/>
      <c r="D94" s="32"/>
      <c r="E94" s="32"/>
      <c r="F94" s="43"/>
    </row>
    <row r="95" spans="1:6" ht="12.95" customHeight="1" x14ac:dyDescent="0.25">
      <c r="A95" s="1"/>
      <c r="B95" s="24"/>
      <c r="C95" s="24"/>
      <c r="D95" s="24"/>
      <c r="E95" s="24"/>
      <c r="F95" s="2"/>
    </row>
    <row r="96" spans="1:6" ht="12.95" customHeight="1" x14ac:dyDescent="0.25">
      <c r="A96" s="1"/>
      <c r="B96" s="24"/>
      <c r="C96" s="24"/>
      <c r="D96" s="24"/>
      <c r="E96" s="24"/>
      <c r="F96" s="2"/>
    </row>
    <row r="97" spans="1:6" ht="12.95" customHeight="1" x14ac:dyDescent="0.25">
      <c r="A97" s="1"/>
      <c r="B97" s="24"/>
      <c r="C97" s="24"/>
      <c r="D97" s="24"/>
      <c r="E97" s="24"/>
      <c r="F97" s="2"/>
    </row>
    <row r="98" spans="1:6" ht="4.5" customHeight="1" x14ac:dyDescent="0.25">
      <c r="A98" s="1"/>
      <c r="B98" s="24"/>
      <c r="C98" s="24"/>
      <c r="D98" s="24"/>
      <c r="E98" s="24"/>
      <c r="F98" s="2"/>
    </row>
    <row r="99" spans="1:6" x14ac:dyDescent="0.25">
      <c r="A99" s="1"/>
      <c r="B99" s="24"/>
      <c r="C99" s="24"/>
      <c r="D99" s="24"/>
      <c r="E99" s="24"/>
      <c r="F99" s="2"/>
    </row>
    <row r="100" spans="1:6" ht="5.0999999999999996" customHeight="1" x14ac:dyDescent="0.25">
      <c r="A100" s="3"/>
      <c r="B100" s="4"/>
      <c r="C100" s="4"/>
      <c r="D100" s="4"/>
      <c r="E100" s="4"/>
      <c r="F100" s="5"/>
    </row>
    <row r="101" spans="1:6" ht="5.0999999999999996" customHeight="1" x14ac:dyDescent="0.25">
      <c r="A101" s="24"/>
      <c r="B101" s="24"/>
      <c r="C101" s="24"/>
      <c r="D101" s="24"/>
      <c r="E101" s="24"/>
      <c r="F101" s="24"/>
    </row>
    <row r="102" spans="1:6" x14ac:dyDescent="0.25">
      <c r="A102" s="217" t="s">
        <v>76</v>
      </c>
      <c r="B102" s="217"/>
      <c r="C102" s="217"/>
      <c r="D102" s="217"/>
      <c r="E102" s="217"/>
      <c r="F102" s="217"/>
    </row>
    <row r="103" spans="1:6" ht="3.95" customHeight="1" thickBot="1" x14ac:dyDescent="0.3">
      <c r="A103" s="140"/>
      <c r="B103" s="140"/>
      <c r="C103" s="140"/>
      <c r="D103" s="140"/>
      <c r="E103" s="140"/>
      <c r="F103" s="140"/>
    </row>
    <row r="104" spans="1:6" ht="16.5" thickTop="1" thickBot="1" x14ac:dyDescent="0.3">
      <c r="A104" s="215" t="s">
        <v>203</v>
      </c>
      <c r="B104" s="215"/>
      <c r="C104" s="215"/>
      <c r="D104" s="215"/>
      <c r="E104" s="56"/>
      <c r="F104" s="38"/>
    </row>
    <row r="105" spans="1:6" ht="3.95" customHeight="1" thickTop="1" x14ac:dyDescent="0.25">
      <c r="A105" s="37"/>
      <c r="B105" s="37"/>
      <c r="C105" s="37"/>
      <c r="D105" s="37"/>
      <c r="E105" s="38"/>
      <c r="F105" s="38"/>
    </row>
    <row r="106" spans="1:6" x14ac:dyDescent="0.25">
      <c r="A106" s="165"/>
      <c r="B106" s="165"/>
      <c r="C106" s="165"/>
      <c r="D106" s="165"/>
      <c r="E106" s="139"/>
      <c r="F106" s="138"/>
    </row>
    <row r="107" spans="1:6" ht="3.95" customHeight="1" x14ac:dyDescent="0.25">
      <c r="A107" s="138"/>
      <c r="B107" s="138"/>
      <c r="C107" s="138"/>
      <c r="D107" s="138"/>
      <c r="E107" s="138"/>
      <c r="F107" s="138"/>
    </row>
    <row r="108" spans="1:6" x14ac:dyDescent="0.25">
      <c r="A108" s="195" t="s">
        <v>129</v>
      </c>
      <c r="B108" s="209"/>
      <c r="C108" s="209"/>
      <c r="D108" s="209"/>
      <c r="E108" s="209"/>
      <c r="F108" s="210"/>
    </row>
    <row r="109" spans="1:6" x14ac:dyDescent="0.25">
      <c r="A109" s="211" t="s">
        <v>121</v>
      </c>
      <c r="B109" s="212"/>
      <c r="C109" s="212"/>
      <c r="D109" s="41" t="e">
        <f>CF!EJ108</f>
        <v>#DIV/0!</v>
      </c>
      <c r="E109" s="76" t="s">
        <v>126</v>
      </c>
      <c r="F109" s="2"/>
    </row>
    <row r="110" spans="1:6" ht="3.95" customHeight="1" x14ac:dyDescent="0.25">
      <c r="A110" s="1"/>
      <c r="B110" s="24"/>
      <c r="C110" s="24"/>
      <c r="D110" s="24"/>
      <c r="E110" s="40"/>
      <c r="F110" s="2"/>
    </row>
    <row r="111" spans="1:6" x14ac:dyDescent="0.25">
      <c r="A111" s="213" t="s">
        <v>127</v>
      </c>
      <c r="B111" s="214"/>
      <c r="C111" s="214"/>
      <c r="D111" s="135" t="e">
        <f>D109/52</f>
        <v>#DIV/0!</v>
      </c>
      <c r="E111" s="57" t="s">
        <v>126</v>
      </c>
      <c r="F111" s="5"/>
    </row>
    <row r="112" spans="1:6" x14ac:dyDescent="0.25">
      <c r="A112" s="1"/>
      <c r="B112" s="24"/>
      <c r="C112" s="24"/>
      <c r="D112" s="24"/>
      <c r="E112" s="24"/>
      <c r="F112" s="2"/>
    </row>
    <row r="113" spans="1:8" x14ac:dyDescent="0.25">
      <c r="A113" s="1"/>
      <c r="B113" s="24"/>
      <c r="C113" s="24"/>
      <c r="D113" s="24"/>
      <c r="E113" s="24"/>
      <c r="F113" s="2"/>
    </row>
    <row r="114" spans="1:8" x14ac:dyDescent="0.25">
      <c r="A114" s="1"/>
      <c r="B114" s="24"/>
      <c r="C114" s="24"/>
      <c r="D114" s="24"/>
      <c r="E114" s="24"/>
      <c r="F114" s="2"/>
    </row>
    <row r="115" spans="1:8" x14ac:dyDescent="0.25">
      <c r="A115" s="1"/>
      <c r="B115" s="24"/>
      <c r="C115" s="24"/>
      <c r="D115" s="24"/>
      <c r="E115" s="24"/>
      <c r="F115" s="2"/>
    </row>
    <row r="116" spans="1:8" x14ac:dyDescent="0.25">
      <c r="A116" s="1"/>
      <c r="B116" s="24"/>
      <c r="C116" s="24"/>
      <c r="D116" s="24"/>
      <c r="E116" s="24"/>
      <c r="F116" s="2"/>
    </row>
    <row r="117" spans="1:8" x14ac:dyDescent="0.25">
      <c r="A117" s="1"/>
      <c r="B117" s="24"/>
      <c r="C117" s="24"/>
      <c r="D117" s="24"/>
      <c r="E117" s="24"/>
      <c r="F117" s="2"/>
    </row>
    <row r="118" spans="1:8" x14ac:dyDescent="0.25">
      <c r="A118" s="1"/>
      <c r="B118" s="24"/>
      <c r="C118" s="24"/>
      <c r="D118" s="24"/>
      <c r="E118" s="24"/>
      <c r="F118" s="2"/>
      <c r="H118" t="s">
        <v>231</v>
      </c>
    </row>
    <row r="119" spans="1:8" x14ac:dyDescent="0.25">
      <c r="A119" s="1"/>
      <c r="B119" s="24"/>
      <c r="C119" s="24"/>
      <c r="D119" s="24"/>
      <c r="E119" s="24"/>
      <c r="F119" s="2"/>
    </row>
    <row r="120" spans="1:8" x14ac:dyDescent="0.25">
      <c r="A120" s="1"/>
      <c r="B120" s="24"/>
      <c r="C120" s="24"/>
      <c r="D120" s="24"/>
      <c r="E120" s="24"/>
      <c r="F120" s="2"/>
    </row>
    <row r="121" spans="1:8" x14ac:dyDescent="0.25">
      <c r="A121" s="1"/>
      <c r="B121" s="24"/>
      <c r="C121" s="24"/>
      <c r="D121" s="24"/>
      <c r="E121" s="24"/>
      <c r="F121" s="2"/>
    </row>
    <row r="122" spans="1:8" x14ac:dyDescent="0.25">
      <c r="A122" s="1"/>
      <c r="B122" s="24"/>
      <c r="C122" s="24"/>
      <c r="D122" s="24"/>
      <c r="E122" s="24"/>
      <c r="F122" s="2"/>
    </row>
    <row r="123" spans="1:8" x14ac:dyDescent="0.25">
      <c r="A123" s="1"/>
      <c r="B123" s="24"/>
      <c r="C123" s="24"/>
      <c r="D123" s="24"/>
      <c r="E123" s="24"/>
      <c r="F123" s="2"/>
    </row>
    <row r="124" spans="1:8" x14ac:dyDescent="0.25">
      <c r="A124" s="1"/>
      <c r="B124" s="24"/>
      <c r="C124" s="24"/>
      <c r="D124" s="24"/>
      <c r="E124" s="24"/>
      <c r="F124" s="2"/>
    </row>
    <row r="125" spans="1:8" x14ac:dyDescent="0.25">
      <c r="A125" s="205" t="s">
        <v>217</v>
      </c>
      <c r="B125" s="206"/>
      <c r="C125" s="206"/>
      <c r="D125" s="206"/>
      <c r="E125" s="206"/>
      <c r="F125" s="207"/>
    </row>
    <row r="126" spans="1:8" x14ac:dyDescent="0.25">
      <c r="A126" s="166" t="s">
        <v>218</v>
      </c>
      <c r="B126" s="167"/>
      <c r="C126" s="167"/>
      <c r="D126" s="167"/>
      <c r="E126" s="167"/>
      <c r="F126" s="168"/>
    </row>
    <row r="127" spans="1:8" x14ac:dyDescent="0.25">
      <c r="A127" s="208"/>
      <c r="B127" s="208"/>
      <c r="C127" s="208"/>
      <c r="D127" s="208"/>
      <c r="E127" s="208"/>
      <c r="F127" s="208"/>
    </row>
  </sheetData>
  <sheetProtection algorithmName="SHA-512" hashValue="xlF4qRqMRqzpCL+jgpiW0dCvsK62JZ5eG9H/F7y0Q58XQYF2HVsmTDUq3YygEuRVKddBlaV/3cxxWivcW0UBBA==" saltValue="uGKbSTEfTfk3fNCzc8qLVQ==" spinCount="100000" sheet="1" objects="1" scenarios="1"/>
  <mergeCells count="61">
    <mergeCell ref="A104:D104"/>
    <mergeCell ref="A86:B86"/>
    <mergeCell ref="A87:F87"/>
    <mergeCell ref="A88:F88"/>
    <mergeCell ref="A76:B76"/>
    <mergeCell ref="A78:F78"/>
    <mergeCell ref="A80:B80"/>
    <mergeCell ref="A82:B82"/>
    <mergeCell ref="A84:B84"/>
    <mergeCell ref="A102:F102"/>
    <mergeCell ref="B89:C89"/>
    <mergeCell ref="A125:F125"/>
    <mergeCell ref="A127:F127"/>
    <mergeCell ref="A108:F108"/>
    <mergeCell ref="A109:C109"/>
    <mergeCell ref="A111:C111"/>
    <mergeCell ref="A74:B74"/>
    <mergeCell ref="A53:F53"/>
    <mergeCell ref="A64:F64"/>
    <mergeCell ref="A65:F65"/>
    <mergeCell ref="A69:F69"/>
    <mergeCell ref="A67:B67"/>
    <mergeCell ref="A70:B70"/>
    <mergeCell ref="A72:B72"/>
    <mergeCell ref="D70:E70"/>
    <mergeCell ref="D72:E72"/>
    <mergeCell ref="A31:D31"/>
    <mergeCell ref="A33:F33"/>
    <mergeCell ref="A32:F32"/>
    <mergeCell ref="A23:F23"/>
    <mergeCell ref="D51:E51"/>
    <mergeCell ref="A2:F2"/>
    <mergeCell ref="A12:F12"/>
    <mergeCell ref="A25:D25"/>
    <mergeCell ref="A27:D27"/>
    <mergeCell ref="A29:D29"/>
    <mergeCell ref="A14:D14"/>
    <mergeCell ref="A18:D18"/>
    <mergeCell ref="A16:D16"/>
    <mergeCell ref="A20:D20"/>
    <mergeCell ref="A22:D22"/>
    <mergeCell ref="A3:F3"/>
    <mergeCell ref="A9:D9"/>
    <mergeCell ref="A5:D5"/>
    <mergeCell ref="A7:D7"/>
    <mergeCell ref="A106:D106"/>
    <mergeCell ref="A126:F126"/>
    <mergeCell ref="A49:B49"/>
    <mergeCell ref="A51:B51"/>
    <mergeCell ref="A44:C45"/>
    <mergeCell ref="D49:E49"/>
    <mergeCell ref="D44:F45"/>
    <mergeCell ref="A47:F47"/>
    <mergeCell ref="A59:B59"/>
    <mergeCell ref="A55:B55"/>
    <mergeCell ref="A63:B63"/>
    <mergeCell ref="A61:B61"/>
    <mergeCell ref="A57:B57"/>
    <mergeCell ref="D74:E74"/>
    <mergeCell ref="D76:E76"/>
    <mergeCell ref="D67:E67"/>
  </mergeCells>
  <conditionalFormatting sqref="E5">
    <cfRule type="expression" dxfId="84" priority="116">
      <formula>IF(E5="",TRUE,FALSE)</formula>
    </cfRule>
    <cfRule type="containsText" dxfId="83" priority="117" operator="containsText" text="&quot;&quot;">
      <formula>NOT(ISERROR(SEARCH("""""",E5)))</formula>
    </cfRule>
  </conditionalFormatting>
  <conditionalFormatting sqref="E7">
    <cfRule type="expression" dxfId="82" priority="114">
      <formula>IF(E7="",TRUE,FALSE)</formula>
    </cfRule>
    <cfRule type="containsText" dxfId="81" priority="115" operator="containsText" text="&quot;&quot;">
      <formula>NOT(ISERROR(SEARCH("""""",E7)))</formula>
    </cfRule>
  </conditionalFormatting>
  <conditionalFormatting sqref="E9">
    <cfRule type="expression" dxfId="80" priority="112">
      <formula>IF(E9="",TRUE,FALSE)</formula>
    </cfRule>
    <cfRule type="containsText" dxfId="79" priority="113" operator="containsText" text="&quot;&quot;">
      <formula>NOT(ISERROR(SEARCH("""""",E9)))</formula>
    </cfRule>
  </conditionalFormatting>
  <conditionalFormatting sqref="E14">
    <cfRule type="expression" dxfId="78" priority="110">
      <formula>IF(E14="",TRUE,FALSE)</formula>
    </cfRule>
    <cfRule type="containsText" dxfId="77" priority="111" operator="containsText" text="&quot;&quot;">
      <formula>NOT(ISERROR(SEARCH("""""",E14)))</formula>
    </cfRule>
  </conditionalFormatting>
  <conditionalFormatting sqref="E16">
    <cfRule type="expression" dxfId="76" priority="108">
      <formula>IF(E16="",TRUE,FALSE)</formula>
    </cfRule>
    <cfRule type="containsText" dxfId="75" priority="109" operator="containsText" text="&quot;&quot;">
      <formula>NOT(ISERROR(SEARCH("""""",E16)))</formula>
    </cfRule>
  </conditionalFormatting>
  <conditionalFormatting sqref="E31 E29 E27 E25 E22 E20 E18">
    <cfRule type="expression" dxfId="74" priority="106">
      <formula>IF(E18="",TRUE,FALSE)</formula>
    </cfRule>
    <cfRule type="containsText" dxfId="73" priority="107" operator="containsText" text="&quot;&quot;">
      <formula>NOT(ISERROR(SEARCH("""""",E18)))</formula>
    </cfRule>
  </conditionalFormatting>
  <conditionalFormatting sqref="A53:F63">
    <cfRule type="expression" dxfId="72" priority="45">
      <formula>IF(OR($C$51&gt;0,$F$49&gt;0,$F$51&gt;0),FALSE, TRUE)</formula>
    </cfRule>
  </conditionalFormatting>
  <conditionalFormatting sqref="C49">
    <cfRule type="expression" dxfId="71" priority="168">
      <formula>IF($C$49="",TRUE,FALSE)</formula>
    </cfRule>
  </conditionalFormatting>
  <conditionalFormatting sqref="F49">
    <cfRule type="expression" dxfId="70" priority="96">
      <formula>IF($F$49="",TRUE,FALSE)</formula>
    </cfRule>
    <cfRule type="expression" dxfId="69" priority="97">
      <formula>IF($F$49="",TRUE,FALSE)</formula>
    </cfRule>
  </conditionalFormatting>
  <conditionalFormatting sqref="C51">
    <cfRule type="expression" dxfId="68" priority="98">
      <formula>IF($C$51="",TRUE,FALSE)</formula>
    </cfRule>
  </conditionalFormatting>
  <conditionalFormatting sqref="F51">
    <cfRule type="expression" dxfId="67" priority="94">
      <formula>IF($F$51="",TRUE,FALSE)</formula>
    </cfRule>
  </conditionalFormatting>
  <conditionalFormatting sqref="C67">
    <cfRule type="expression" dxfId="66" priority="158">
      <formula>IF($C$67="",TRUE,FALSE)</formula>
    </cfRule>
  </conditionalFormatting>
  <conditionalFormatting sqref="A69:F76">
    <cfRule type="expression" dxfId="65" priority="37">
      <formula>IF(OR($C$67="",$C$67=0),TRUE,FALSE)</formula>
    </cfRule>
  </conditionalFormatting>
  <conditionalFormatting sqref="A78:F86">
    <cfRule type="expression" dxfId="64" priority="28">
      <formula>IF(OR($F$67="",$F$67=0),TRUE,FALSE)</formula>
    </cfRule>
  </conditionalFormatting>
  <conditionalFormatting sqref="F67">
    <cfRule type="expression" dxfId="63" priority="157">
      <formula>IF($F$67="",TRUE,FALSE)</formula>
    </cfRule>
  </conditionalFormatting>
  <conditionalFormatting sqref="E16">
    <cfRule type="expression" dxfId="62" priority="78">
      <formula>IF(E16="",TRUE,FALSE)</formula>
    </cfRule>
    <cfRule type="containsText" dxfId="61" priority="105" operator="containsText" text="&quot;&quot;">
      <formula>NOT(ISERROR(SEARCH("""""",E16)))</formula>
    </cfRule>
  </conditionalFormatting>
  <conditionalFormatting sqref="E18">
    <cfRule type="expression" dxfId="60" priority="76">
      <formula>IF(E18="",TRUE,FALSE)</formula>
    </cfRule>
    <cfRule type="containsText" dxfId="59" priority="77" operator="containsText" text="&quot;&quot;">
      <formula>NOT(ISERROR(SEARCH("""""",E18)))</formula>
    </cfRule>
  </conditionalFormatting>
  <conditionalFormatting sqref="E20">
    <cfRule type="expression" dxfId="58" priority="74">
      <formula>IF(E20="",TRUE,FALSE)</formula>
    </cfRule>
    <cfRule type="containsText" dxfId="57" priority="75" operator="containsText" text="&quot;&quot;">
      <formula>NOT(ISERROR(SEARCH("""""",E20)))</formula>
    </cfRule>
  </conditionalFormatting>
  <conditionalFormatting sqref="E22">
    <cfRule type="expression" dxfId="56" priority="72">
      <formula>IF(E22="",TRUE,FALSE)</formula>
    </cfRule>
    <cfRule type="containsText" dxfId="55" priority="73" operator="containsText" text="&quot;&quot;">
      <formula>NOT(ISERROR(SEARCH("""""",E22)))</formula>
    </cfRule>
  </conditionalFormatting>
  <conditionalFormatting sqref="E25">
    <cfRule type="expression" dxfId="54" priority="70">
      <formula>IF(E25="",TRUE,FALSE)</formula>
    </cfRule>
    <cfRule type="containsText" dxfId="53" priority="71" operator="containsText" text="&quot;&quot;">
      <formula>NOT(ISERROR(SEARCH("""""",E25)))</formula>
    </cfRule>
  </conditionalFormatting>
  <conditionalFormatting sqref="E27">
    <cfRule type="expression" dxfId="52" priority="68">
      <formula>IF(E27="",TRUE,FALSE)</formula>
    </cfRule>
    <cfRule type="containsText" dxfId="51" priority="69" operator="containsText" text="&quot;&quot;">
      <formula>NOT(ISERROR(SEARCH("""""",E27)))</formula>
    </cfRule>
  </conditionalFormatting>
  <conditionalFormatting sqref="E29">
    <cfRule type="expression" dxfId="50" priority="66">
      <formula>IF(E29="",TRUE,FALSE)</formula>
    </cfRule>
    <cfRule type="containsText" dxfId="49" priority="67" operator="containsText" text="&quot;&quot;">
      <formula>NOT(ISERROR(SEARCH("""""",E29)))</formula>
    </cfRule>
  </conditionalFormatting>
  <conditionalFormatting sqref="E31">
    <cfRule type="expression" dxfId="48" priority="64">
      <formula>IF(E31="",TRUE,FALSE)</formula>
    </cfRule>
    <cfRule type="containsText" dxfId="47" priority="65" operator="containsText" text="&quot;&quot;">
      <formula>NOT(ISERROR(SEARCH("""""",E31)))</formula>
    </cfRule>
  </conditionalFormatting>
  <conditionalFormatting sqref="C55">
    <cfRule type="expression" dxfId="46" priority="100">
      <formula>IF($C$55="",TRUE,FALSE)</formula>
    </cfRule>
  </conditionalFormatting>
  <conditionalFormatting sqref="C57">
    <cfRule type="expression" dxfId="45" priority="99">
      <formula>IF($C$57="",TRUE,FALSE)</formula>
    </cfRule>
  </conditionalFormatting>
  <conditionalFormatting sqref="C59">
    <cfRule type="expression" dxfId="44" priority="60">
      <formula>IF($C$59="",TRUE,FALSE)</formula>
    </cfRule>
  </conditionalFormatting>
  <conditionalFormatting sqref="C61">
    <cfRule type="expression" dxfId="43" priority="58">
      <formula>IF($C$61="",TRUE,FALSE)</formula>
    </cfRule>
  </conditionalFormatting>
  <conditionalFormatting sqref="C63">
    <cfRule type="expression" dxfId="42" priority="57">
      <formula>IF($C$63="",TRUE,FALSE)</formula>
    </cfRule>
  </conditionalFormatting>
  <conditionalFormatting sqref="F55">
    <cfRule type="expression" dxfId="41" priority="56">
      <formula>IF($F$55="",TRUE,FALSE)</formula>
    </cfRule>
  </conditionalFormatting>
  <conditionalFormatting sqref="F57">
    <cfRule type="expression" dxfId="40" priority="55">
      <formula>IF($F$57="",TRUE,FALSE)</formula>
    </cfRule>
  </conditionalFormatting>
  <conditionalFormatting sqref="F61">
    <cfRule type="expression" dxfId="39" priority="54">
      <formula>IF($F$61="",TRUE,FALSE)</formula>
    </cfRule>
  </conditionalFormatting>
  <conditionalFormatting sqref="F63">
    <cfRule type="expression" dxfId="38" priority="53">
      <formula>IF($F$63="",TRUE,FALSE)</formula>
    </cfRule>
  </conditionalFormatting>
  <conditionalFormatting sqref="F59">
    <cfRule type="expression" dxfId="37" priority="52">
      <formula>IF($F$59="",TRUE,FALSE)</formula>
    </cfRule>
  </conditionalFormatting>
  <conditionalFormatting sqref="C70">
    <cfRule type="expression" dxfId="36" priority="89">
      <formula>IF($C$70="",TRUE,FALSE)</formula>
    </cfRule>
  </conditionalFormatting>
  <conditionalFormatting sqref="C72">
    <cfRule type="expression" dxfId="35" priority="44">
      <formula>IF($C$72="",TRUE,FALSE)</formula>
    </cfRule>
  </conditionalFormatting>
  <conditionalFormatting sqref="C74">
    <cfRule type="expression" dxfId="34" priority="43">
      <formula>IF($C$74="",TRUE,FALSE)</formula>
    </cfRule>
  </conditionalFormatting>
  <conditionalFormatting sqref="C76">
    <cfRule type="expression" dxfId="33" priority="42">
      <formula>IF($C$76="",TRUE,FALSE)</formula>
    </cfRule>
  </conditionalFormatting>
  <conditionalFormatting sqref="F70">
    <cfRule type="expression" dxfId="32" priority="40">
      <formula>IF($F$70="",TRUE,FALSE)</formula>
    </cfRule>
  </conditionalFormatting>
  <conditionalFormatting sqref="F72">
    <cfRule type="expression" dxfId="31" priority="39">
      <formula>IF($F$72="",TRUE,FALSE)</formula>
    </cfRule>
  </conditionalFormatting>
  <conditionalFormatting sqref="F74">
    <cfRule type="expression" dxfId="30" priority="38">
      <formula>IF($F$74="",TRUE,FALSE)</formula>
    </cfRule>
  </conditionalFormatting>
  <conditionalFormatting sqref="C80">
    <cfRule type="expression" dxfId="29" priority="88">
      <formula>IF($C$80="",TRUE,FALSE)</formula>
    </cfRule>
  </conditionalFormatting>
  <conditionalFormatting sqref="C82">
    <cfRule type="expression" dxfId="28" priority="36">
      <formula>IF($C$82="",TRUE,FALSE)</formula>
    </cfRule>
  </conditionalFormatting>
  <conditionalFormatting sqref="C84">
    <cfRule type="expression" dxfId="27" priority="35">
      <formula>IF($C$84="",TRUE,FALSE)</formula>
    </cfRule>
  </conditionalFormatting>
  <conditionalFormatting sqref="C86">
    <cfRule type="expression" dxfId="26" priority="34">
      <formula>IF($C$86="",TRUE,FALSE)</formula>
    </cfRule>
  </conditionalFormatting>
  <conditionalFormatting sqref="F80">
    <cfRule type="expression" dxfId="25" priority="32">
      <formula>IF($F$80="",TRUE,FALSE)</formula>
    </cfRule>
  </conditionalFormatting>
  <conditionalFormatting sqref="F82">
    <cfRule type="expression" dxfId="24" priority="31">
      <formula>IF($F$82="",TRUE,FALSE)</formula>
    </cfRule>
  </conditionalFormatting>
  <conditionalFormatting sqref="F84">
    <cfRule type="expression" dxfId="23" priority="30">
      <formula>IF($F$84="",TRUE,FALSE)</formula>
    </cfRule>
  </conditionalFormatting>
  <conditionalFormatting sqref="F86">
    <cfRule type="expression" dxfId="22" priority="29">
      <formula>IF($F$86="",TRUE,FALSE)</formula>
    </cfRule>
  </conditionalFormatting>
  <conditionalFormatting sqref="E104">
    <cfRule type="expression" dxfId="21" priority="160">
      <formula>IF($E$104="",TRUE,FALSE)</formula>
    </cfRule>
  </conditionalFormatting>
  <conditionalFormatting sqref="D44:F45">
    <cfRule type="expression" dxfId="20" priority="7">
      <formula>IF($E$9="",TRUE,FALSE)</formula>
    </cfRule>
    <cfRule type="expression" dxfId="19" priority="10">
      <formula>IF($E$9&gt;=15,TRUE,FALSE)</formula>
    </cfRule>
  </conditionalFormatting>
  <dataValidations count="6">
    <dataValidation type="list" showInputMessage="1" showErrorMessage="1" sqref="E17 E19" xr:uid="{00000000-0002-0000-0000-000000000000}">
      <formula1>#REF!</formula1>
    </dataValidation>
    <dataValidation allowBlank="1" showInputMessage="1" showErrorMessage="1" promptTitle="Le travail d'astreinte, kezako? " prompt="Le travail d'astreinte s'effectue quotidiennement et  correspond aux soins journaliers apportés aux animaux (alimentation, paillage, surveillance...). Il représente en moyenne 66% du travail total effectué sur l'exploitation." sqref="A33:F33" xr:uid="{00000000-0002-0000-0000-000001000000}"/>
    <dataValidation type="whole" errorStyle="information" allowBlank="1" showInputMessage="1" showErrorMessage="1" errorTitle="Nombre entier" sqref="C67" xr:uid="{00000000-0002-0000-0000-000002000000}">
      <formula1>0</formula1>
      <formula2>300</formula2>
    </dataValidation>
    <dataValidation type="decimal" allowBlank="1" showInputMessage="1" showErrorMessage="1" sqref="F67" xr:uid="{00000000-0002-0000-0000-000003000000}">
      <formula1>0</formula1>
      <formula2>300</formula2>
    </dataValidation>
    <dataValidation allowBlank="1" showInputMessage="1" showErrorMessage="1" promptTitle="Le travail de saison, kezako?" prompt="Le travail de saison correspond à des tâches concentrées sur une période donnée. Il concerne le troupeau, les superficies fourragères et les cultures._x000a_" sqref="A88:F88" xr:uid="{00000000-0002-0000-0000-000004000000}"/>
    <dataValidation allowBlank="1" showErrorMessage="1" promptTitle="En annexe" prompt="Les inconvénients et les avantages de cette pratique sont discutés." sqref="F20" xr:uid="{00000000-0002-0000-0000-000005000000}"/>
  </dataValidations>
  <hyperlinks>
    <hyperlink ref="F22" location="Annexe!A23" tooltip="En annexe, les inconvénients et les avantages de cette pratique sont discutés." display="Annexe!A23" xr:uid="{00000000-0004-0000-0000-000000000000}"/>
    <hyperlink ref="F25" location="Annexe!A32" tooltip="En annexe, les avantages et les inconvénients de cette pratique sont discutés." display="Annexe!A32" xr:uid="{00000000-0004-0000-0000-000001000000}"/>
    <hyperlink ref="F29" location="Annexe!A38" tooltip="En annexe, les avantages et les inconvénients de cette pratique sont discutés." display="Annexe!A38" xr:uid="{00000000-0004-0000-0000-000002000000}"/>
    <hyperlink ref="A125:F125" location="'Mode d''emploi'!A37" display="Attention, votre temps de travail est élevé ! * Quelques raisons possibles en cliquant ici. " xr:uid="{00000000-0004-0000-0000-000003000000}"/>
    <hyperlink ref="F18" location="Annexe!A1" tooltip="En annexe, les avantages et les inconvénients de cette pratique sont discutés." display="Annexe!A3" xr:uid="{00000000-0004-0000-0000-000004000000}"/>
    <hyperlink ref="F20" location="Annexe!A1" tooltip="En annexe, les avantages et les inconvénients de cette pratique sont discutés." display="Annexe!A1" xr:uid="{00000000-0004-0000-0000-000005000000}"/>
    <hyperlink ref="F31" location="Annexe!A43" tooltip="En annexe, les avantages et les inconvénients de cette pratique sont discutés." display="Annexe!A43" xr:uid="{00000000-0004-0000-0000-000006000000}"/>
  </hyperlinks>
  <pageMargins left="0.7" right="0.7" top="0.75" bottom="0.75" header="0.3" footer="0.3"/>
  <pageSetup paperSize="9" orientation="portrait" r:id="rId1"/>
  <headerFooter>
    <oddFooter>&amp;L&amp;G&amp;C&amp;"+,Normal"&amp;D&amp;R&amp;"+,Normal"&amp;P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6" id="{00000000-000E-0000-0000-000076000000}">
            <xm:f>IF(CF!$EI$11=3,TRUE,$A$11)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</x14:dxf>
          </x14:cfRule>
          <xm:sqref>A11</xm:sqref>
        </x14:conditionalFormatting>
        <x14:conditionalFormatting xmlns:xm="http://schemas.microsoft.com/office/excel/2006/main">
          <x14:cfRule type="expression" priority="91" id="{00000000-000E-0000-0000-000079000000}">
            <xm:f>IF(CF!$EK$51=4,FALSE,TRUE)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</border>
            </x14:dxf>
          </x14:cfRule>
          <x14:cfRule type="expression" priority="86" id="{00000000-000E-0000-0000-00007A000000}">
            <xm:f>IF(CF!$EK$63=10,FALSE,TRUE)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A65:F68</xm:sqref>
        </x14:conditionalFormatting>
        <x14:conditionalFormatting xmlns:xm="http://schemas.microsoft.com/office/excel/2006/main">
          <x14:cfRule type="expression" priority="159" id="{00000000-000E-0000-0000-00007B000000}">
            <xm:f>IF(AND(CF!$EK$63=10,CF!$EK$51=4),TRUE,$A$64)</xm:f>
            <x14:dxf>
              <font>
                <color theme="0"/>
              </font>
              <fill>
                <patternFill patternType="none">
                  <fgColor indexed="64"/>
                  <bgColor auto="1"/>
                </patternFill>
              </fill>
            </x14:dxf>
          </x14:cfRule>
          <xm:sqref>A64</xm:sqref>
        </x14:conditionalFormatting>
        <x14:conditionalFormatting xmlns:xm="http://schemas.microsoft.com/office/excel/2006/main">
          <x14:cfRule type="expression" priority="27" id="{00000000-000E-0000-0000-00007C000000}">
            <xm:f>IF(CF!$EK$67=2,FALSE,TRUE)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A102:F105</xm:sqref>
        </x14:conditionalFormatting>
        <x14:conditionalFormatting xmlns:xm="http://schemas.microsoft.com/office/excel/2006/main">
          <x14:cfRule type="expression" priority="161" id="{00000000-000E-0000-0000-00007D000000}">
            <xm:f>IF(CF!$EM$108&lt;2100,TRUE,FALSE)</xm:f>
            <x14:dxf>
              <font>
                <color theme="0"/>
              </font>
            </x14:dxf>
          </x14:cfRule>
          <xm:sqref>A125:F125 A126</xm:sqref>
        </x14:conditionalFormatting>
        <x14:conditionalFormatting xmlns:xm="http://schemas.microsoft.com/office/excel/2006/main">
          <x14:cfRule type="expression" priority="163" id="{00000000-000E-0000-0000-00007F000000}">
            <xm:f>IF(CF!ER43=0,TRUE,FALSE)</xm:f>
            <x14:dxf>
              <font>
                <color rgb="FFC00000"/>
              </font>
            </x14:dxf>
          </x14:cfRule>
          <x14:cfRule type="expression" priority="164" id="{00000000-000E-0000-0000-000080000000}">
            <xm:f>IF(AND(CF!ER43&gt;0,CF!ER43&lt;=4),TRUE,FALSE)</xm:f>
            <x14:dxf>
              <font>
                <color rgb="FF91C36F"/>
              </font>
            </x14:dxf>
          </x14:cfRule>
          <x14:cfRule type="expression" priority="165" id="{00000000-000E-0000-0000-000081000000}">
            <xm:f>IF(AND(CF!ER43&lt;=5,CF!ER43&gt;4),TRUE,FALSE)</xm:f>
            <x14:dxf>
              <font>
                <color rgb="FFF29E6A"/>
              </font>
            </x14:dxf>
          </x14:cfRule>
          <x14:cfRule type="expression" priority="166" id="{00000000-000E-0000-0000-000082000000}">
            <xm:f>IF(CF!ER43&gt;5,TRUE,FALSE)</xm:f>
            <x14:dxf>
              <font>
                <color rgb="FFF88680"/>
              </font>
            </x14:dxf>
          </x14:cfRule>
          <xm:sqref>A44:C45</xm:sqref>
        </x14:conditionalFormatting>
        <x14:conditionalFormatting xmlns:xm="http://schemas.microsoft.com/office/excel/2006/main">
          <x14:cfRule type="expression" priority="167" id="{00000000-000E-0000-0000-000077000000}">
            <xm:f>IF(CF!$EJ$31=9,TRUE,$A$32)</xm:f>
            <x14:dxf>
              <font>
                <color theme="0"/>
              </font>
            </x14:dxf>
          </x14:cfRule>
          <xm:sqref>A32</xm:sqref>
        </x14:conditionalFormatting>
        <x14:conditionalFormatting xmlns:xm="http://schemas.microsoft.com/office/excel/2006/main">
          <x14:cfRule type="expression" priority="93" id="{00000000-000E-0000-0000-000078000000}">
            <xm:f>IF(CF!$EJ$31=9,FALSE,TRUE)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  <border>
                <left/>
                <right/>
                <top/>
                <bottom/>
              </border>
            </x14:dxf>
          </x14:cfRule>
          <xm:sqref>A47:F63</xm:sqref>
        </x14:conditionalFormatting>
        <x14:conditionalFormatting xmlns:xm="http://schemas.microsoft.com/office/excel/2006/main">
          <x14:cfRule type="expression" priority="169" id="{00000000-000E-0000-0000-000083000000}">
            <xm:f>IF(OR(CF!$EJ$31&lt;9,CF!$EI$10&lt;3),TRUE,FALSE)</xm:f>
            <x14:dxf>
              <font>
                <color theme="0"/>
              </font>
            </x14:dxf>
          </x14:cfRule>
          <xm:sqref>A64:F64</xm:sqref>
        </x14:conditionalFormatting>
        <x14:conditionalFormatting xmlns:xm="http://schemas.microsoft.com/office/excel/2006/main">
          <x14:cfRule type="expression" priority="170" id="{00000000-000E-0000-0000-000084000000}">
            <xm:f>IF(OR(CF!EI$10&lt;3,CF!$EJ$31&lt;9,CF!$EK$51&lt;4),TRUE,FALSE)</xm:f>
            <x14:dxf>
              <font>
                <color theme="0"/>
              </font>
            </x14:dxf>
          </x14:cfRule>
          <x14:cfRule type="expression" priority="171" id="{00000000-000E-0000-0000-000085000000}">
            <xm:f>IF(AND(CF!EK67=2,AND(C67&gt;0,CF!EJ76=7),AND(F67&gt;0,CF!EK86=8)),TRUE,FALSE)</xm:f>
            <x14:dxf>
              <font>
                <color theme="0"/>
              </font>
            </x14:dxf>
          </x14:cfRule>
          <xm:sqref>A87</xm:sqref>
        </x14:conditionalFormatting>
        <x14:conditionalFormatting xmlns:xm="http://schemas.microsoft.com/office/excel/2006/main">
          <x14:cfRule type="expression" priority="172" id="{00000000-000E-0000-0000-000086000000}">
            <xm:f>IF(OR(CF!EM$10&lt;3,CF!$EJ$31&lt;9,CF!$EK$51&lt;4),TRUE,FALSE)</xm:f>
            <x14:dxf>
              <font>
                <color theme="0"/>
              </font>
            </x14:dxf>
          </x14:cfRule>
          <x14:cfRule type="expression" priority="173" id="{00000000-000E-0000-0000-000087000000}">
            <xm:f>IF(AND(CF!EO67=2,AND(CF!EI67&gt;0,CF!EN76=7),AND(CF!EL67&gt;0,CF!EO86=8)),TRUE,FALSE)</xm:f>
            <x14:dxf>
              <font>
                <color theme="0"/>
              </font>
            </x14:dxf>
          </x14:cfRule>
          <xm:sqref>E87:F87</xm:sqref>
        </x14:conditionalFormatting>
        <x14:conditionalFormatting xmlns:xm="http://schemas.microsoft.com/office/excel/2006/main">
          <x14:cfRule type="expression" priority="174" id="{00000000-000E-0000-0000-000088000000}">
            <xm:f>IF(OR(CF!EJ$10&lt;3,CF!$EJ$31&lt;9,CF!$EK$51&lt;4),TRUE,FALSE)</xm:f>
            <x14:dxf>
              <font>
                <color theme="0"/>
              </font>
            </x14:dxf>
          </x14:cfRule>
          <x14:cfRule type="expression" priority="175" id="{00000000-000E-0000-0000-000089000000}">
            <xm:f>IF(AND(CF!EL67=2,AND(D67&gt;0,CF!EK76=7),AND(CF!EI67&gt;0,CF!EL86=8)),TRUE,FALSE)</xm:f>
            <x14:dxf>
              <font>
                <color theme="0"/>
              </font>
            </x14:dxf>
          </x14:cfRule>
          <xm:sqref>B87:D87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000-000006000000}">
          <x14:formula1>
            <xm:f>CF!$EL$17:$EL$18</xm:f>
          </x14:formula1>
          <xm:sqref>E22 E24</xm:sqref>
        </x14:dataValidation>
        <x14:dataValidation type="list" allowBlank="1" showInputMessage="1" showErrorMessage="1" xr:uid="{00000000-0002-0000-0000-000007000000}">
          <x14:formula1>
            <xm:f>CF!$EL$13:$EL$15</xm:f>
          </x14:formula1>
          <xm:sqref>E48 E73</xm:sqref>
        </x14:dataValidation>
        <x14:dataValidation type="list" allowBlank="1" showInputMessage="1" showErrorMessage="1" xr:uid="{00000000-0002-0000-0000-000008000000}">
          <x14:formula1>
            <xm:f>CF!$EL$19:$EL$21</xm:f>
          </x14:formula1>
          <xm:sqref>E104:E105</xm:sqref>
        </x14:dataValidation>
        <x14:dataValidation type="list" showInputMessage="1" xr:uid="{00000000-0002-0000-0000-000009000000}">
          <x14:formula1>
            <xm:f>CF!$EM$9:$EM$10</xm:f>
          </x14:formula1>
          <xm:sqref>E18</xm:sqref>
        </x14:dataValidation>
        <x14:dataValidation type="list" allowBlank="1" showInputMessage="1" showErrorMessage="1" promptTitle="Comment choisir ? " prompt="Pensez à la quantité de travail manuel et à la fréquence de manipulations des bêtes requis par vos équipements et bâtiments._x000a__x000a_" xr:uid="{00000000-0002-0000-0000-00000A000000}">
          <x14:formula1>
            <xm:f>CF!$EL$9:$EL$11</xm:f>
          </x14:formula1>
          <xm:sqref>E16</xm:sqref>
        </x14:dataValidation>
        <x14:dataValidation type="list" allowBlank="1" showInputMessage="1" showErrorMessage="1" promptTitle="Comment choisir?" prompt="Un parcellaire défavorable est constitué de petites parcelles qui sont éparpillées et éloignées de l'exploitation." xr:uid="{00000000-0002-0000-0000-00000B000000}">
          <x14:formula1>
            <xm:f>CF!$EL$13:$EL$15</xm:f>
          </x14:formula1>
          <xm:sqref>C49</xm:sqref>
        </x14:dataValidation>
        <x14:dataValidation type="list" allowBlank="1" showInputMessage="1" showErrorMessage="1" xr:uid="{00000000-0002-0000-0000-00000C000000}">
          <x14:formula1>
            <xm:f>CF!$EN$9:$EN$10</xm:f>
          </x14:formula1>
          <xm:sqref>E20:E21</xm:sqref>
        </x14:dataValidation>
        <x14:dataValidation type="list" allowBlank="1" showInputMessage="1" showErrorMessage="1" xr:uid="{00000000-0002-0000-0000-00000D000000}">
          <x14:formula1>
            <xm:f>CF!$EN$17:$EN$18</xm:f>
          </x14:formula1>
          <xm:sqref>C62 F62 E26 E30 E28 F83 F85</xm:sqref>
        </x14:dataValidation>
        <x14:dataValidation type="list" allowBlank="1" showInputMessage="1" showErrorMessage="1" xr:uid="{00000000-0002-0000-0000-00000E000000}">
          <x14:formula1>
            <xm:f>CF!$EN$12:$EN$16</xm:f>
          </x14:formula1>
          <xm:sqref>E25 C84 F74 F86 F84 F82 F80 C86 C82 C80 F72 F70 C76 C74 C72 C70 E27 E29 E31 C55 C57 C59 C61 C63 F55 F57 F59 F61 F63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H1:ET142"/>
  <sheetViews>
    <sheetView topLeftCell="EC1" workbookViewId="0">
      <selection activeCell="EH1" sqref="EH1:EU1048576"/>
    </sheetView>
  </sheetViews>
  <sheetFormatPr baseColWidth="10" defaultRowHeight="15" x14ac:dyDescent="0.25"/>
  <cols>
    <col min="138" max="138" width="11.42578125" style="101"/>
    <col min="139" max="139" width="16.85546875" style="101" customWidth="1"/>
    <col min="140" max="140" width="17.140625" style="101" customWidth="1"/>
    <col min="141" max="142" width="11.42578125" style="101"/>
    <col min="143" max="143" width="19.42578125" style="101" customWidth="1"/>
    <col min="144" max="147" width="11.5703125" style="101"/>
  </cols>
  <sheetData>
    <row r="1" spans="139:150" x14ac:dyDescent="0.25">
      <c r="EI1" s="102"/>
      <c r="EJ1" s="103"/>
      <c r="EK1" s="104"/>
      <c r="EL1" s="104"/>
      <c r="EM1" s="104"/>
      <c r="EN1" s="104"/>
      <c r="EO1" s="104"/>
      <c r="EP1" s="104"/>
      <c r="EQ1" s="104"/>
      <c r="ER1" s="94"/>
      <c r="ES1" s="95"/>
      <c r="ET1" s="88"/>
    </row>
    <row r="2" spans="139:150" ht="22.5" x14ac:dyDescent="0.4">
      <c r="EI2" s="105"/>
      <c r="EJ2" s="106"/>
      <c r="EK2" s="107"/>
      <c r="EL2" s="107"/>
      <c r="EM2" s="107"/>
      <c r="EN2" s="107"/>
      <c r="EO2" s="107"/>
      <c r="EP2" s="107"/>
      <c r="EQ2" s="107"/>
      <c r="ER2" s="92"/>
      <c r="ES2" s="96"/>
      <c r="ET2" s="88"/>
    </row>
    <row r="3" spans="139:150" x14ac:dyDescent="0.25">
      <c r="EI3" s="108"/>
      <c r="EJ3" s="109" t="s">
        <v>81</v>
      </c>
      <c r="EK3" s="110" t="s">
        <v>83</v>
      </c>
      <c r="EL3" s="110"/>
      <c r="EM3" s="107"/>
      <c r="EN3" s="107"/>
      <c r="EO3" s="107"/>
      <c r="EP3" s="107"/>
      <c r="EQ3" s="107"/>
      <c r="ER3" s="92"/>
      <c r="ES3" s="96"/>
      <c r="ET3" s="88"/>
    </row>
    <row r="4" spans="139:150" x14ac:dyDescent="0.25">
      <c r="EI4" s="111"/>
      <c r="EJ4" s="112" t="s">
        <v>79</v>
      </c>
      <c r="EK4" s="107">
        <v>10</v>
      </c>
      <c r="EL4" s="107"/>
      <c r="EM4" s="107"/>
      <c r="EN4" s="107"/>
      <c r="EO4" s="107"/>
      <c r="EP4" s="107"/>
      <c r="EQ4" s="107"/>
      <c r="ER4" s="92"/>
      <c r="ES4" s="96"/>
      <c r="ET4" s="88"/>
    </row>
    <row r="5" spans="139:150" x14ac:dyDescent="0.25">
      <c r="EI5" s="111">
        <f>IF(Calculette!E5="",0,1)</f>
        <v>0</v>
      </c>
      <c r="EJ5" s="112"/>
      <c r="EK5" s="107"/>
      <c r="EL5" s="107"/>
      <c r="EM5" s="107"/>
      <c r="EN5" s="107"/>
      <c r="EO5" s="107"/>
      <c r="EP5" s="107"/>
      <c r="EQ5" s="107"/>
      <c r="ER5" s="92"/>
      <c r="ES5" s="96"/>
      <c r="ET5" s="88"/>
    </row>
    <row r="6" spans="139:150" x14ac:dyDescent="0.25">
      <c r="EI6" s="111"/>
      <c r="EJ6" s="112" t="s">
        <v>91</v>
      </c>
      <c r="EK6" s="107">
        <v>5</v>
      </c>
      <c r="EL6" s="107"/>
      <c r="EM6" s="107"/>
      <c r="EN6" s="107"/>
      <c r="EO6" s="107"/>
      <c r="EP6" s="107"/>
      <c r="EQ6" s="107"/>
      <c r="ER6" s="92"/>
      <c r="ES6" s="96"/>
      <c r="ET6" s="88"/>
    </row>
    <row r="7" spans="139:150" x14ac:dyDescent="0.25">
      <c r="EI7" s="111">
        <f>IF(Calculette!E7="",0,1)</f>
        <v>0</v>
      </c>
      <c r="EJ7" s="113" t="s">
        <v>80</v>
      </c>
      <c r="EK7" s="114">
        <v>75</v>
      </c>
      <c r="EL7" s="107"/>
      <c r="EM7" s="107"/>
      <c r="EN7" s="107"/>
      <c r="EO7" s="107"/>
      <c r="EP7" s="107"/>
      <c r="EQ7" s="107"/>
      <c r="ER7" s="92"/>
      <c r="ES7" s="96"/>
      <c r="ET7" s="88"/>
    </row>
    <row r="8" spans="139:150" x14ac:dyDescent="0.25">
      <c r="EI8" s="111"/>
      <c r="EJ8" s="112" t="s">
        <v>82</v>
      </c>
      <c r="EK8" s="115">
        <f>Calculette!E9/100</f>
        <v>0</v>
      </c>
      <c r="EL8" s="107"/>
      <c r="EM8" s="107"/>
      <c r="EN8" s="107"/>
      <c r="EO8" s="107"/>
      <c r="EP8" s="107"/>
      <c r="EQ8" s="107"/>
      <c r="ER8" s="92"/>
      <c r="ES8" s="96"/>
      <c r="ET8" s="88"/>
    </row>
    <row r="9" spans="139:150" x14ac:dyDescent="0.25">
      <c r="EI9" s="111">
        <f>IF(Calculette!E9="",0,1)</f>
        <v>0</v>
      </c>
      <c r="EJ9" s="107"/>
      <c r="EK9" s="107"/>
      <c r="EL9" s="107" t="s">
        <v>4</v>
      </c>
      <c r="EM9" s="107" t="s">
        <v>5</v>
      </c>
      <c r="EN9" s="107" t="s">
        <v>10</v>
      </c>
      <c r="EO9" s="107"/>
      <c r="EP9" s="107"/>
      <c r="EQ9" s="107"/>
      <c r="ER9" s="92"/>
      <c r="ES9" s="96"/>
      <c r="ET9" s="88"/>
    </row>
    <row r="10" spans="139:150" x14ac:dyDescent="0.25">
      <c r="EI10" s="116">
        <f>SUM(EI5:EI9)</f>
        <v>0</v>
      </c>
      <c r="EJ10" s="107"/>
      <c r="EK10" s="107"/>
      <c r="EL10" s="107" t="s">
        <v>6</v>
      </c>
      <c r="EM10" s="107" t="s">
        <v>78</v>
      </c>
      <c r="EN10" s="107" t="s">
        <v>12</v>
      </c>
      <c r="EO10" s="107"/>
      <c r="EP10" s="107"/>
      <c r="EQ10" s="107"/>
      <c r="ER10" s="92"/>
      <c r="ES10" s="96"/>
      <c r="ET10" s="88"/>
    </row>
    <row r="11" spans="139:150" x14ac:dyDescent="0.25">
      <c r="EI11" s="116"/>
      <c r="EJ11" s="117"/>
      <c r="EK11" s="107"/>
      <c r="EL11" s="107" t="s">
        <v>8</v>
      </c>
      <c r="EM11" s="107"/>
      <c r="EN11" s="107"/>
      <c r="EO11" s="107"/>
      <c r="EP11" s="107"/>
      <c r="EQ11" s="107"/>
      <c r="ER11" s="92"/>
      <c r="ES11" s="96"/>
      <c r="ET11" s="88"/>
    </row>
    <row r="12" spans="139:150" x14ac:dyDescent="0.25">
      <c r="EI12" s="108"/>
      <c r="EJ12" s="107"/>
      <c r="EK12" s="107"/>
      <c r="EL12" s="107"/>
      <c r="EM12" s="107"/>
      <c r="EN12" s="107" t="s">
        <v>198</v>
      </c>
      <c r="EO12" s="107"/>
      <c r="EP12" s="107"/>
      <c r="EQ12" s="107"/>
      <c r="ER12" s="92"/>
      <c r="ES12" s="96"/>
      <c r="ET12" s="88"/>
    </row>
    <row r="13" spans="139:150" x14ac:dyDescent="0.25">
      <c r="EI13" s="116"/>
      <c r="EJ13" s="107"/>
      <c r="EK13" s="107"/>
      <c r="EL13" s="107" t="s">
        <v>9</v>
      </c>
      <c r="EM13" s="107"/>
      <c r="EN13" s="107" t="s">
        <v>168</v>
      </c>
      <c r="EO13" s="107"/>
      <c r="EP13" s="107"/>
      <c r="EQ13" s="107"/>
      <c r="ER13" s="92"/>
      <c r="ES13" s="96"/>
      <c r="ET13" s="88"/>
    </row>
    <row r="14" spans="139:150" x14ac:dyDescent="0.25">
      <c r="EI14" s="116">
        <f>IF(Calculette!E14="",0,1)</f>
        <v>0</v>
      </c>
      <c r="EJ14" s="107"/>
      <c r="EK14" s="107" t="e">
        <f>Calculette!E14/Calculette!E5</f>
        <v>#DIV/0!</v>
      </c>
      <c r="EL14" s="107" t="s">
        <v>11</v>
      </c>
      <c r="EM14" s="107"/>
      <c r="EN14" s="107" t="s">
        <v>169</v>
      </c>
      <c r="EO14" s="107"/>
      <c r="EP14" s="107"/>
      <c r="EQ14" s="107"/>
      <c r="ER14" s="92"/>
      <c r="ES14" s="96"/>
      <c r="ET14" s="88"/>
    </row>
    <row r="15" spans="139:150" x14ac:dyDescent="0.25">
      <c r="EI15" s="116"/>
      <c r="EJ15" s="107"/>
      <c r="EK15" s="107"/>
      <c r="EL15" s="107" t="s">
        <v>13</v>
      </c>
      <c r="EM15" s="107"/>
      <c r="EN15" s="107" t="s">
        <v>175</v>
      </c>
      <c r="EO15" s="107"/>
      <c r="EP15" s="107"/>
      <c r="EQ15" s="107"/>
      <c r="ER15" s="92"/>
      <c r="ES15" s="96"/>
      <c r="ET15" s="88"/>
    </row>
    <row r="16" spans="139:150" x14ac:dyDescent="0.25">
      <c r="EI16" s="116">
        <f>IF(Calculette!E16="",0,1)</f>
        <v>0</v>
      </c>
      <c r="EJ16" s="107"/>
      <c r="EK16" s="107"/>
      <c r="EL16" s="107"/>
      <c r="EM16" s="107"/>
      <c r="EN16" s="107" t="s">
        <v>199</v>
      </c>
      <c r="EO16" s="107"/>
      <c r="EP16" s="107"/>
      <c r="EQ16" s="107"/>
      <c r="ER16" s="92"/>
      <c r="ES16" s="96"/>
      <c r="ET16" s="88"/>
    </row>
    <row r="17" spans="139:150" x14ac:dyDescent="0.25">
      <c r="EI17" s="116"/>
      <c r="EJ17" s="107"/>
      <c r="EK17" s="107"/>
      <c r="EL17" s="107" t="s">
        <v>84</v>
      </c>
      <c r="EM17" s="107"/>
      <c r="EN17" s="107"/>
      <c r="EO17" s="107"/>
      <c r="EP17" s="107"/>
      <c r="EQ17" s="107"/>
      <c r="ER17" s="92"/>
      <c r="ES17" s="96"/>
      <c r="ET17" s="88"/>
    </row>
    <row r="18" spans="139:150" x14ac:dyDescent="0.25">
      <c r="EI18" s="116">
        <f>IF(Calculette!E18="",0,1)</f>
        <v>0</v>
      </c>
      <c r="EJ18" s="107"/>
      <c r="EK18" s="107"/>
      <c r="EL18" s="107" t="s">
        <v>85</v>
      </c>
      <c r="EM18" s="107"/>
      <c r="EN18" s="107"/>
      <c r="EO18" s="107"/>
      <c r="EP18" s="107"/>
      <c r="EQ18" s="107"/>
      <c r="ER18" s="92"/>
      <c r="ES18" s="96"/>
      <c r="ET18" s="88"/>
    </row>
    <row r="19" spans="139:150" x14ac:dyDescent="0.25">
      <c r="EI19" s="116"/>
      <c r="EJ19" s="107"/>
      <c r="EK19" s="107"/>
      <c r="EL19" s="107" t="s">
        <v>17</v>
      </c>
      <c r="EM19" s="107"/>
      <c r="EN19" s="107" t="s">
        <v>18</v>
      </c>
      <c r="EO19" s="107"/>
      <c r="EP19" s="107"/>
      <c r="EQ19" s="107"/>
      <c r="ER19" s="92"/>
      <c r="ES19" s="96"/>
      <c r="ET19" s="88"/>
    </row>
    <row r="20" spans="139:150" x14ac:dyDescent="0.25">
      <c r="EI20" s="116">
        <f>IF(Calculette!E20="",0,1)</f>
        <v>0</v>
      </c>
      <c r="EJ20" s="107"/>
      <c r="EK20" s="107"/>
      <c r="EL20" s="107" t="s">
        <v>20</v>
      </c>
      <c r="EM20" s="107"/>
      <c r="EN20" s="107" t="s">
        <v>21</v>
      </c>
      <c r="EO20" s="107"/>
      <c r="EP20" s="107"/>
      <c r="EQ20" s="107"/>
      <c r="ER20" s="92"/>
      <c r="ES20" s="96"/>
      <c r="ET20" s="88"/>
    </row>
    <row r="21" spans="139:150" x14ac:dyDescent="0.25">
      <c r="EI21" s="116"/>
      <c r="EJ21" s="107"/>
      <c r="EK21" s="107"/>
      <c r="EL21" s="107" t="s">
        <v>22</v>
      </c>
      <c r="EM21" s="107"/>
      <c r="EN21" s="107" t="s">
        <v>23</v>
      </c>
      <c r="EO21" s="107"/>
      <c r="EP21" s="107"/>
      <c r="EQ21" s="107"/>
      <c r="ER21" s="92"/>
      <c r="ES21" s="96"/>
      <c r="ET21" s="88"/>
    </row>
    <row r="22" spans="139:150" x14ac:dyDescent="0.25">
      <c r="EI22" s="116">
        <f>IF(Calculette!E22="",0,1)</f>
        <v>0</v>
      </c>
      <c r="EJ22" s="107"/>
      <c r="EK22" s="107"/>
      <c r="EL22" s="107"/>
      <c r="EM22" s="107"/>
      <c r="EN22" s="107"/>
      <c r="EO22" s="107"/>
      <c r="EP22" s="107"/>
      <c r="EQ22" s="107"/>
      <c r="ER22" s="92"/>
      <c r="ES22" s="96"/>
      <c r="ET22" s="88"/>
    </row>
    <row r="23" spans="139:150" x14ac:dyDescent="0.25">
      <c r="EI23" s="107"/>
      <c r="EJ23" s="107"/>
      <c r="EK23" s="107"/>
      <c r="EL23" s="107"/>
      <c r="EM23" s="107"/>
      <c r="EN23" s="107"/>
      <c r="EO23" s="107"/>
      <c r="EP23" s="107"/>
      <c r="EQ23" s="107"/>
      <c r="ER23" s="92"/>
      <c r="ES23" s="96"/>
      <c r="ET23" s="88"/>
    </row>
    <row r="24" spans="139:150" x14ac:dyDescent="0.25">
      <c r="EI24" s="116"/>
      <c r="EJ24" s="107"/>
      <c r="EK24" s="107"/>
      <c r="EL24" s="107"/>
      <c r="EM24" s="107"/>
      <c r="EN24" s="107"/>
      <c r="EO24" s="107"/>
      <c r="EP24" s="107"/>
      <c r="EQ24" s="107"/>
      <c r="ER24" s="92"/>
      <c r="ES24" s="96"/>
      <c r="ET24" s="88"/>
    </row>
    <row r="25" spans="139:150" x14ac:dyDescent="0.25">
      <c r="EI25" s="116">
        <f>IF(Calculette!E25="",0,1)</f>
        <v>0</v>
      </c>
      <c r="EJ25" s="107"/>
      <c r="EK25" s="107"/>
      <c r="EL25" s="107"/>
      <c r="EM25" s="107" t="s">
        <v>27</v>
      </c>
      <c r="EN25" s="107"/>
      <c r="EO25" s="107"/>
      <c r="EP25" s="107"/>
      <c r="EQ25" s="107"/>
      <c r="ER25" s="92"/>
      <c r="ES25" s="96"/>
      <c r="ET25" s="88"/>
    </row>
    <row r="26" spans="139:150" x14ac:dyDescent="0.25">
      <c r="EI26" s="116"/>
      <c r="EJ26" s="107"/>
      <c r="EK26" s="107"/>
      <c r="EL26" s="107"/>
      <c r="EM26" s="107"/>
      <c r="EN26" s="107" t="s">
        <v>28</v>
      </c>
      <c r="EO26" s="107"/>
      <c r="EP26" s="107"/>
      <c r="EQ26" s="107"/>
      <c r="ER26" s="92"/>
      <c r="ES26" s="96"/>
      <c r="ET26" s="88"/>
    </row>
    <row r="27" spans="139:150" x14ac:dyDescent="0.25">
      <c r="EI27" s="116">
        <f>IF(Calculette!E27="",0,1)</f>
        <v>0</v>
      </c>
      <c r="EJ27" s="107"/>
      <c r="EK27" s="107"/>
      <c r="EL27" s="107"/>
      <c r="EM27" s="107" t="s">
        <v>30</v>
      </c>
      <c r="EN27" s="107" t="s">
        <v>31</v>
      </c>
      <c r="EO27" s="107" t="s">
        <v>32</v>
      </c>
      <c r="EP27" s="107"/>
      <c r="EQ27" s="107"/>
      <c r="ER27" s="92"/>
      <c r="ES27" s="96"/>
      <c r="ET27" s="88"/>
    </row>
    <row r="28" spans="139:150" x14ac:dyDescent="0.25">
      <c r="EI28" s="116"/>
      <c r="EJ28" s="107"/>
      <c r="EK28" s="107"/>
      <c r="EL28" s="107"/>
      <c r="EM28" s="107"/>
      <c r="EN28" s="107"/>
      <c r="EO28" s="107"/>
      <c r="EP28" s="107"/>
      <c r="EQ28" s="107"/>
      <c r="ER28" s="92"/>
      <c r="ES28" s="96"/>
      <c r="ET28" s="88"/>
    </row>
    <row r="29" spans="139:150" x14ac:dyDescent="0.25">
      <c r="EI29" s="116">
        <f>IF(Calculette!E29="",0,1)</f>
        <v>0</v>
      </c>
      <c r="EJ29" s="107"/>
      <c r="EK29" s="107"/>
      <c r="EL29" s="107"/>
      <c r="EM29" s="107" t="s">
        <v>34</v>
      </c>
      <c r="EN29" s="107">
        <v>41</v>
      </c>
      <c r="EO29" s="107">
        <v>51</v>
      </c>
      <c r="EP29" s="107"/>
      <c r="EQ29" s="107">
        <f>IF(AND(Calculette!E16="Peu performants",Calculette!E18="Au pis",Calculette!E14&lt;=75),EN29*Calculette!E14,0)</f>
        <v>0</v>
      </c>
      <c r="ER29" s="92">
        <f>IF(AND(Calculette!E16="Peu performants",Calculette!E18="Autres",Calculette!E14&lt;=75),EO29*Calculette!E14,0)</f>
        <v>0</v>
      </c>
      <c r="ES29" s="96"/>
      <c r="ET29" s="88"/>
    </row>
    <row r="30" spans="139:150" x14ac:dyDescent="0.25">
      <c r="EI30" s="116"/>
      <c r="EJ30" s="107"/>
      <c r="EK30" s="107"/>
      <c r="EL30" s="107"/>
      <c r="EM30" s="107"/>
      <c r="EN30" s="107"/>
      <c r="EO30" s="107"/>
      <c r="EP30" s="107"/>
      <c r="EQ30" s="107"/>
      <c r="ER30" s="92"/>
      <c r="ES30" s="96"/>
      <c r="ET30" s="88"/>
    </row>
    <row r="31" spans="139:150" x14ac:dyDescent="0.25">
      <c r="EI31" s="116">
        <f>IF(Calculette!E31="",0,1)</f>
        <v>0</v>
      </c>
      <c r="EJ31" s="160">
        <f>SUM(CF!EI14:EI31)</f>
        <v>0</v>
      </c>
      <c r="EK31" s="107"/>
      <c r="EL31" s="107"/>
      <c r="EM31" s="107" t="s">
        <v>88</v>
      </c>
      <c r="EN31" s="107">
        <v>28</v>
      </c>
      <c r="EO31" s="107">
        <v>38</v>
      </c>
      <c r="EP31" s="107"/>
      <c r="EQ31" s="107">
        <f>IF(AND(Calculette!E16="Intermédiaires",Calculette!E18="Au pis",Calculette!E14&lt;=75),EN31*Calculette!E14,0)</f>
        <v>0</v>
      </c>
      <c r="ER31" s="92">
        <f>IF(AND(Calculette!E16="Intermédiaires",Calculette!E18="Autres",Calculette!E14&lt;=75),EO31*Calculette!E14,0)</f>
        <v>0</v>
      </c>
      <c r="ES31" s="96"/>
      <c r="ET31" s="88"/>
    </row>
    <row r="32" spans="139:150" x14ac:dyDescent="0.25">
      <c r="EI32" s="116"/>
      <c r="EJ32" s="107"/>
      <c r="EK32" s="107"/>
      <c r="EL32" s="107"/>
      <c r="EM32" s="107" t="s">
        <v>37</v>
      </c>
      <c r="EN32" s="107">
        <v>15</v>
      </c>
      <c r="EO32" s="107">
        <v>25</v>
      </c>
      <c r="EP32" s="107"/>
      <c r="EQ32" s="107">
        <f>IF(AND(Calculette!E16="Efficaces",Calculette!E18="Au pis",Calculette!E14&lt;=75),EN32*Calculette!E14,0)</f>
        <v>0</v>
      </c>
      <c r="ER32" s="92">
        <f>IF(AND(Calculette!E16="Efficaces",Calculette!E18="Autres",Calculette!E14&lt;=75),EO32*Calculette!E14,0)</f>
        <v>0</v>
      </c>
      <c r="ES32" s="96"/>
      <c r="ET32" s="88"/>
    </row>
    <row r="33" spans="139:150" x14ac:dyDescent="0.25">
      <c r="EI33" s="107" t="s">
        <v>19</v>
      </c>
      <c r="EJ33" s="107">
        <v>0.16</v>
      </c>
      <c r="EK33" s="107">
        <v>0.05</v>
      </c>
      <c r="EL33" s="107"/>
      <c r="EM33" s="107" t="s">
        <v>39</v>
      </c>
      <c r="EN33" s="107"/>
      <c r="EO33" s="107"/>
      <c r="EP33" s="107"/>
      <c r="EQ33" s="107"/>
      <c r="ER33" s="92"/>
      <c r="ES33" s="96"/>
      <c r="ET33" s="88"/>
    </row>
    <row r="34" spans="139:150" x14ac:dyDescent="0.25">
      <c r="EI34" s="107"/>
      <c r="EJ34" s="107"/>
      <c r="EK34" s="107"/>
      <c r="EL34" s="107"/>
      <c r="EM34" s="107" t="s">
        <v>34</v>
      </c>
      <c r="EN34" s="107">
        <v>28</v>
      </c>
      <c r="EO34" s="107">
        <v>38</v>
      </c>
      <c r="EP34" s="107"/>
      <c r="EQ34" s="107">
        <f>IF(AND(Calculette!E16="Peu performants",Calculette!E18="Au pis",Calculette!E14&gt;75,Calculette!E14&lt;=125),EN34*Calculette!E14,0)</f>
        <v>0</v>
      </c>
      <c r="ER34" s="92">
        <f>IF(AND(Calculette!E16="Peu performants",Calculette!E18="Autres",Calculette!E14&gt;75,Calculette!E14&lt;=125),EO34*Calculette!E14,0)</f>
        <v>0</v>
      </c>
      <c r="ES34" s="96"/>
      <c r="ET34" s="88"/>
    </row>
    <row r="35" spans="139:150" x14ac:dyDescent="0.25">
      <c r="EI35" s="107" t="s">
        <v>25</v>
      </c>
      <c r="EJ35" s="117">
        <v>0.13</v>
      </c>
      <c r="EK35" s="107"/>
      <c r="EL35" s="107"/>
      <c r="EM35" s="107" t="s">
        <v>43</v>
      </c>
      <c r="EN35" s="107">
        <v>21</v>
      </c>
      <c r="EO35" s="107">
        <v>31</v>
      </c>
      <c r="EP35" s="107"/>
      <c r="EQ35" s="107">
        <f>IF(AND(Calculette!E16="Intermédiaires",Calculette!E18="Au pis",Calculette!E14&gt;75,Calculette!E14&lt;=125),EN35*Calculette!E14,0)</f>
        <v>0</v>
      </c>
      <c r="ER35" s="92">
        <f>IF(AND(Calculette!E16="Intermédiaires",Calculette!E18="Autres",Calculette!E14&gt;75,Calculette!E14&lt;=125),EO35*Calculette!E14,0)</f>
        <v>0</v>
      </c>
      <c r="ES35" s="96"/>
      <c r="ET35" s="88"/>
    </row>
    <row r="36" spans="139:150" x14ac:dyDescent="0.25">
      <c r="EI36" s="107"/>
      <c r="EJ36" s="107"/>
      <c r="EK36" s="107"/>
      <c r="EL36" s="107"/>
      <c r="EM36" s="107" t="s">
        <v>37</v>
      </c>
      <c r="EN36" s="107">
        <v>16</v>
      </c>
      <c r="EO36" s="107">
        <v>26</v>
      </c>
      <c r="EP36" s="107"/>
      <c r="EQ36" s="107">
        <f>IF(AND(Calculette!E16="Efficaces",Calculette!E18="Au pis",Calculette!E14&gt;75,Calculette!E14&lt;=125),EN36*Calculette!E14,0)</f>
        <v>0</v>
      </c>
      <c r="ER36" s="92">
        <f>IF(AND(Calculette!E16="Efficaces",Calculette!E18="Autres",Calculette!E14&gt;75,Calculette!E14&lt;=125),EO36*Calculette!E14,0)</f>
        <v>0</v>
      </c>
      <c r="ES36" s="96"/>
      <c r="ET36" s="88"/>
    </row>
    <row r="37" spans="139:150" x14ac:dyDescent="0.25">
      <c r="EI37" s="107" t="s">
        <v>26</v>
      </c>
      <c r="EJ37" s="107">
        <v>0.09</v>
      </c>
      <c r="EK37" s="107"/>
      <c r="EL37" s="107"/>
      <c r="EM37" s="107" t="s">
        <v>51</v>
      </c>
      <c r="EN37" s="107"/>
      <c r="EO37" s="107"/>
      <c r="EP37" s="107"/>
      <c r="EQ37" s="107"/>
      <c r="ER37" s="92"/>
      <c r="ES37" s="96"/>
      <c r="ET37" s="88"/>
    </row>
    <row r="38" spans="139:150" x14ac:dyDescent="0.25">
      <c r="EI38" s="107"/>
      <c r="EJ38" s="107"/>
      <c r="EK38" s="107"/>
      <c r="EL38" s="107"/>
      <c r="EM38" s="107" t="s">
        <v>34</v>
      </c>
      <c r="EN38" s="107">
        <v>28</v>
      </c>
      <c r="EO38" s="107">
        <v>38</v>
      </c>
      <c r="EP38" s="107"/>
      <c r="EQ38" s="107">
        <f>IF(AND(Calculette!E16="Peu performants",Calculette!E18="Au pis",Calculette!E14&gt;125),EN38*Calculette!E14,0)</f>
        <v>0</v>
      </c>
      <c r="ER38" s="92">
        <f>IF(AND(Calculette!E16="Peu performants",Calculette!E18="Autres",Calculette!E14&gt;125),EO38*Calculette!E14,0)</f>
        <v>0</v>
      </c>
      <c r="ES38" s="96"/>
      <c r="ET38" s="88"/>
    </row>
    <row r="39" spans="139:150" x14ac:dyDescent="0.25">
      <c r="EI39" s="107" t="s">
        <v>29</v>
      </c>
      <c r="EJ39" s="107">
        <v>0.02</v>
      </c>
      <c r="EK39" s="107"/>
      <c r="EL39" s="107"/>
      <c r="EM39" s="107" t="s">
        <v>43</v>
      </c>
      <c r="EN39" s="107">
        <v>18</v>
      </c>
      <c r="EO39" s="107">
        <v>24</v>
      </c>
      <c r="EP39" s="107"/>
      <c r="EQ39" s="107">
        <f>IF(AND(Calculette!E16="Intermédiaires",Calculette!E18="Au pis",Calculette!E14&gt;125),EN39*Calculette!E14,0)</f>
        <v>0</v>
      </c>
      <c r="ER39" s="92">
        <f>IF(AND(Calculette!E16="Intermédiaires",Calculette!E18="Autres",Calculette!E14&gt;125),EO39*Calculette!E14,0)</f>
        <v>0</v>
      </c>
      <c r="ES39" s="96"/>
      <c r="ET39" s="88"/>
    </row>
    <row r="40" spans="139:150" x14ac:dyDescent="0.25">
      <c r="EI40" s="107"/>
      <c r="EJ40" s="107"/>
      <c r="EK40" s="107"/>
      <c r="EL40" s="107"/>
      <c r="EM40" s="107" t="s">
        <v>37</v>
      </c>
      <c r="EN40" s="107">
        <v>15</v>
      </c>
      <c r="EO40" s="107">
        <v>20</v>
      </c>
      <c r="EP40" s="107"/>
      <c r="EQ40" s="107">
        <f>IF(AND(Calculette!E16="Efficaces",Calculette!E18="Au pis",Calculette!E14&gt;125),EN40*Calculette!E14,0)</f>
        <v>0</v>
      </c>
      <c r="ER40" s="92">
        <f>IF(AND(Calculette!E16="Efficaces",Calculette!E18="Autres",Calculette!E14&gt;125),EO40*Calculette!E14,0)</f>
        <v>0</v>
      </c>
      <c r="ES40" s="96"/>
      <c r="ET40" s="88"/>
    </row>
    <row r="41" spans="139:150" x14ac:dyDescent="0.25">
      <c r="EI41" s="107" t="s">
        <v>33</v>
      </c>
      <c r="EJ41" s="107">
        <v>0.03</v>
      </c>
      <c r="EK41" s="107"/>
      <c r="EL41" s="107"/>
      <c r="EM41" s="114" t="s">
        <v>79</v>
      </c>
      <c r="EN41" s="118">
        <f>4/24</f>
        <v>0.16666666666666666</v>
      </c>
      <c r="EO41" s="114">
        <v>1.75</v>
      </c>
      <c r="EP41" s="107" t="s">
        <v>89</v>
      </c>
      <c r="EQ41" s="107"/>
      <c r="ER41" s="92">
        <f>SUM(EQ29:ER40)</f>
        <v>0</v>
      </c>
      <c r="ES41" s="96">
        <f>ER41*((100-Calculette!E9-Calculette!E7)/100)</f>
        <v>0</v>
      </c>
      <c r="ET41" s="88"/>
    </row>
    <row r="42" spans="139:150" x14ac:dyDescent="0.25">
      <c r="EI42" s="107"/>
      <c r="EJ42" s="107"/>
      <c r="EK42" s="107"/>
      <c r="EL42" s="107"/>
      <c r="EM42" s="114" t="s">
        <v>91</v>
      </c>
      <c r="EN42" s="118">
        <f>1/24</f>
        <v>4.1666666666666664E-2</v>
      </c>
      <c r="EO42" s="114">
        <v>3.64</v>
      </c>
      <c r="EP42" s="107" t="s">
        <v>90</v>
      </c>
      <c r="EQ42" s="107"/>
      <c r="ER42" s="92" t="e">
        <f>ES41/Calculette!E5</f>
        <v>#DIV/0!</v>
      </c>
      <c r="ES42" s="96"/>
      <c r="ET42" s="88"/>
    </row>
    <row r="43" spans="139:150" x14ac:dyDescent="0.25">
      <c r="EI43" s="107" t="s">
        <v>35</v>
      </c>
      <c r="EJ43" s="107">
        <v>0.02</v>
      </c>
      <c r="EK43" s="107"/>
      <c r="EL43" s="107"/>
      <c r="EM43" s="114" t="s">
        <v>80</v>
      </c>
      <c r="EN43" s="118">
        <f>1/24</f>
        <v>4.1666666666666664E-2</v>
      </c>
      <c r="EO43" s="114">
        <v>5.75</v>
      </c>
      <c r="EP43" s="107" t="s">
        <v>92</v>
      </c>
      <c r="EQ43" s="107"/>
      <c r="ER43" s="97" t="e">
        <f>ER42/365</f>
        <v>#DIV/0!</v>
      </c>
      <c r="ES43" s="96"/>
      <c r="ET43" s="88"/>
    </row>
    <row r="44" spans="139:150" x14ac:dyDescent="0.25">
      <c r="EI44" s="117" t="s">
        <v>36</v>
      </c>
      <c r="EJ44" s="107">
        <v>0.05</v>
      </c>
      <c r="EK44" s="107"/>
      <c r="EL44" s="107"/>
      <c r="EM44" s="114" t="s">
        <v>94</v>
      </c>
      <c r="EN44" s="118">
        <f>12/24</f>
        <v>0.5</v>
      </c>
      <c r="EO44" s="114">
        <v>8.8000000000000007</v>
      </c>
      <c r="EP44" s="107"/>
      <c r="EQ44" s="107"/>
      <c r="ER44" s="98" t="e">
        <f>ER43/24</f>
        <v>#DIV/0!</v>
      </c>
      <c r="ES44" s="96"/>
      <c r="ET44" s="88"/>
    </row>
    <row r="45" spans="139:150" x14ac:dyDescent="0.25">
      <c r="EI45" s="117"/>
      <c r="EJ45" s="107"/>
      <c r="EK45" s="107"/>
      <c r="EL45" s="107"/>
      <c r="EM45" s="114" t="s">
        <v>200</v>
      </c>
      <c r="EN45" s="118"/>
      <c r="EO45" s="114"/>
      <c r="EP45" s="107"/>
      <c r="EQ45" s="107"/>
      <c r="ER45" s="98"/>
      <c r="ES45" s="96"/>
      <c r="ET45" s="88"/>
    </row>
    <row r="46" spans="139:150" x14ac:dyDescent="0.25">
      <c r="EI46" s="119"/>
      <c r="EJ46" s="107"/>
      <c r="EK46" s="107"/>
      <c r="EL46" s="107"/>
      <c r="EM46" s="107" t="s">
        <v>93</v>
      </c>
      <c r="EN46" s="118">
        <f>5/24</f>
        <v>0.20833333333333334</v>
      </c>
      <c r="EO46" s="114"/>
      <c r="EP46" s="107"/>
      <c r="EQ46" s="107"/>
      <c r="ER46" s="98"/>
      <c r="ES46" s="96"/>
      <c r="ET46" s="88"/>
    </row>
    <row r="47" spans="139:150" x14ac:dyDescent="0.25">
      <c r="EI47" s="107"/>
      <c r="EJ47" s="107"/>
      <c r="EK47" s="107"/>
      <c r="EL47" s="107"/>
      <c r="EM47" s="107" t="s">
        <v>195</v>
      </c>
      <c r="EN47" s="107"/>
      <c r="EO47" s="107"/>
      <c r="EP47" s="107"/>
      <c r="EQ47" s="107"/>
      <c r="ER47" s="92"/>
      <c r="ES47" s="96"/>
      <c r="ET47" s="88"/>
    </row>
    <row r="48" spans="139:150" x14ac:dyDescent="0.25">
      <c r="EI48" s="116"/>
      <c r="EJ48" s="107"/>
      <c r="EK48" s="107"/>
      <c r="EL48" s="107"/>
      <c r="EM48" s="107"/>
      <c r="EN48" s="107"/>
      <c r="EO48" s="107"/>
      <c r="EP48" s="107"/>
      <c r="EQ48" s="107"/>
      <c r="ER48" s="92"/>
      <c r="ES48" s="96"/>
      <c r="ET48" s="88"/>
    </row>
    <row r="49" spans="139:150" x14ac:dyDescent="0.25">
      <c r="EI49" s="116">
        <f>IF(Calculette!C49="",0,1)</f>
        <v>0</v>
      </c>
      <c r="EJ49" s="107">
        <f>IF(Calculette!F49="",0,1)</f>
        <v>0</v>
      </c>
      <c r="EK49" s="107"/>
      <c r="EL49" s="120"/>
      <c r="EM49" s="107" t="s">
        <v>197</v>
      </c>
      <c r="EN49" s="107"/>
      <c r="EO49" s="107"/>
      <c r="EP49" s="107"/>
      <c r="EQ49" s="107"/>
      <c r="ER49" s="92"/>
      <c r="ES49" s="96"/>
      <c r="ET49" s="88"/>
    </row>
    <row r="50" spans="139:150" x14ac:dyDescent="0.25">
      <c r="EI50" s="121"/>
      <c r="EJ50" s="122"/>
      <c r="EK50" s="122"/>
      <c r="EL50" s="123"/>
      <c r="EM50" s="101" t="s">
        <v>196</v>
      </c>
      <c r="EN50" s="122"/>
      <c r="EO50" s="122"/>
      <c r="EP50" s="122"/>
      <c r="EQ50" s="122"/>
      <c r="ER50" s="99"/>
      <c r="ES50" s="100"/>
      <c r="ET50" s="88"/>
    </row>
    <row r="51" spans="139:150" x14ac:dyDescent="0.25">
      <c r="EI51" s="101">
        <f>IF(Calculette!C51="",0,1)</f>
        <v>0</v>
      </c>
      <c r="EJ51" s="101">
        <f>IF(Calculette!F51="",0,1)</f>
        <v>0</v>
      </c>
      <c r="EK51" s="101">
        <f>SUM(EI49:EJ51)</f>
        <v>0</v>
      </c>
      <c r="EL51" s="124"/>
      <c r="EM51" s="114" t="s">
        <v>208</v>
      </c>
      <c r="ER51" s="88"/>
      <c r="ES51" s="88"/>
      <c r="ET51" s="88"/>
    </row>
    <row r="52" spans="139:150" x14ac:dyDescent="0.25">
      <c r="EI52" s="124"/>
      <c r="EJ52" s="124"/>
      <c r="EK52" s="124"/>
      <c r="EL52" s="124"/>
      <c r="ER52" s="88"/>
      <c r="ES52" s="88"/>
      <c r="ET52" s="88"/>
    </row>
    <row r="53" spans="139:150" x14ac:dyDescent="0.25">
      <c r="EM53" s="125" t="s">
        <v>46</v>
      </c>
      <c r="EN53" s="124"/>
      <c r="EP53" s="124"/>
      <c r="ER53" s="88"/>
      <c r="ES53" s="88"/>
      <c r="ET53" s="88"/>
    </row>
    <row r="54" spans="139:150" x14ac:dyDescent="0.25">
      <c r="EM54" s="124"/>
      <c r="EN54" s="124"/>
      <c r="EP54" s="124"/>
      <c r="ER54" s="88"/>
      <c r="ES54" s="88"/>
      <c r="ET54" s="88"/>
    </row>
    <row r="55" spans="139:150" x14ac:dyDescent="0.25">
      <c r="EI55" s="101">
        <f>IF(Calculette!C55="",0,1)</f>
        <v>0</v>
      </c>
      <c r="EJ55" s="101">
        <f>IF(Calculette!F55="",0,1)</f>
        <v>0</v>
      </c>
      <c r="EM55" s="101" t="s">
        <v>49</v>
      </c>
      <c r="EN55" s="124">
        <v>0.1</v>
      </c>
      <c r="EO55" s="101" t="s">
        <v>50</v>
      </c>
      <c r="EP55" s="124">
        <v>0.06</v>
      </c>
      <c r="ER55" s="88"/>
      <c r="ES55" s="88"/>
      <c r="ET55" s="88"/>
    </row>
    <row r="56" spans="139:150" x14ac:dyDescent="0.25">
      <c r="EM56" s="124"/>
      <c r="EN56" s="124"/>
      <c r="EP56" s="124"/>
      <c r="ER56" s="88"/>
      <c r="ES56" s="88"/>
      <c r="ET56" s="88"/>
    </row>
    <row r="57" spans="139:150" x14ac:dyDescent="0.25">
      <c r="EI57" s="101">
        <f>IF(Calculette!C57="",0,1)</f>
        <v>0</v>
      </c>
      <c r="EJ57" s="101">
        <f>IF(Calculette!F57="",0,1)</f>
        <v>0</v>
      </c>
      <c r="EM57" s="101" t="s">
        <v>54</v>
      </c>
      <c r="EN57" s="124">
        <v>0.04</v>
      </c>
      <c r="EO57" s="101" t="s">
        <v>55</v>
      </c>
      <c r="EP57" s="124">
        <v>0.05</v>
      </c>
      <c r="ER57" s="88"/>
      <c r="ES57" s="88"/>
      <c r="ET57" s="88"/>
    </row>
    <row r="58" spans="139:150" x14ac:dyDescent="0.25">
      <c r="EN58" s="124"/>
      <c r="EP58" s="124"/>
      <c r="ER58" s="88"/>
      <c r="ES58" s="88"/>
      <c r="ET58" s="88"/>
    </row>
    <row r="59" spans="139:150" x14ac:dyDescent="0.25">
      <c r="EI59" s="101">
        <f>IF(Calculette!C59="",0,1)</f>
        <v>0</v>
      </c>
      <c r="EJ59" s="101">
        <f>IF(Calculette!F59="",0,1)</f>
        <v>0</v>
      </c>
      <c r="EM59" s="101" t="s">
        <v>58</v>
      </c>
      <c r="EN59" s="124">
        <v>0.02</v>
      </c>
      <c r="EO59" s="101" t="s">
        <v>98</v>
      </c>
      <c r="EP59" s="124">
        <v>7.0000000000000007E-2</v>
      </c>
      <c r="EQ59" s="129" t="s">
        <v>38</v>
      </c>
      <c r="ER59" s="90" t="s">
        <v>9</v>
      </c>
      <c r="ES59" s="88">
        <v>0.32</v>
      </c>
      <c r="ET59" s="88"/>
    </row>
    <row r="60" spans="139:150" x14ac:dyDescent="0.25">
      <c r="EN60" s="124"/>
      <c r="EP60" s="124"/>
      <c r="EQ60" s="127"/>
      <c r="ER60" s="88"/>
      <c r="ES60" s="88"/>
      <c r="ET60" s="88"/>
    </row>
    <row r="61" spans="139:150" x14ac:dyDescent="0.25">
      <c r="EI61" s="101">
        <f>IF(Calculette!C61="",0,1)</f>
        <v>0</v>
      </c>
      <c r="EJ61" s="101">
        <f>IF(Calculette!F61="",0,1)</f>
        <v>0</v>
      </c>
      <c r="EM61" s="101" t="s">
        <v>61</v>
      </c>
      <c r="EN61" s="124">
        <v>0.06</v>
      </c>
      <c r="EO61" s="101" t="s">
        <v>62</v>
      </c>
      <c r="EP61" s="124">
        <v>0.19</v>
      </c>
      <c r="ER61" s="91" t="s">
        <v>42</v>
      </c>
      <c r="ES61" s="91">
        <v>0.24</v>
      </c>
      <c r="ET61" s="88"/>
    </row>
    <row r="62" spans="139:150" x14ac:dyDescent="0.25">
      <c r="EN62" s="124"/>
      <c r="EP62" s="124"/>
      <c r="EQ62" s="124"/>
      <c r="ER62" s="91"/>
      <c r="ES62" s="91"/>
      <c r="ET62" s="88"/>
    </row>
    <row r="63" spans="139:150" x14ac:dyDescent="0.25">
      <c r="EI63" s="101">
        <f>IF(Calculette!C63="",0,1)</f>
        <v>0</v>
      </c>
      <c r="EJ63" s="101">
        <f>IF(Calculette!F63="",0,1)</f>
        <v>0</v>
      </c>
      <c r="EK63" s="101">
        <f>SUM(EI55:EJ63)</f>
        <v>0</v>
      </c>
      <c r="EM63" s="101" t="s">
        <v>65</v>
      </c>
      <c r="EN63" s="124">
        <v>0.05</v>
      </c>
      <c r="EO63" s="101" t="s">
        <v>66</v>
      </c>
      <c r="EP63" s="124">
        <v>0.04</v>
      </c>
      <c r="ER63" s="91" t="s">
        <v>13</v>
      </c>
      <c r="ES63" s="91">
        <v>0.14000000000000001</v>
      </c>
      <c r="ET63" s="88"/>
    </row>
    <row r="64" spans="139:150" x14ac:dyDescent="0.25">
      <c r="EJ64" s="124"/>
      <c r="EL64" s="124"/>
      <c r="ER64" s="88"/>
      <c r="ES64" s="88"/>
      <c r="ET64" s="88"/>
    </row>
    <row r="65" spans="139:150" x14ac:dyDescent="0.25">
      <c r="EJ65" s="124"/>
      <c r="EL65" s="124"/>
      <c r="EM65" s="125" t="s">
        <v>99</v>
      </c>
      <c r="EO65" s="125" t="s">
        <v>104</v>
      </c>
      <c r="ER65" s="88"/>
      <c r="ES65" s="88"/>
      <c r="ET65" s="88"/>
    </row>
    <row r="66" spans="139:150" x14ac:dyDescent="0.25">
      <c r="ER66" s="88"/>
      <c r="ES66" s="88"/>
      <c r="ET66" s="88"/>
    </row>
    <row r="67" spans="139:150" x14ac:dyDescent="0.25">
      <c r="EI67" s="101">
        <f>IF(Calculette!C67="",0,1)</f>
        <v>0</v>
      </c>
      <c r="EJ67" s="101">
        <f>IF(Calculette!F67="",0,1)</f>
        <v>0</v>
      </c>
      <c r="EK67" s="101">
        <f>SUM(EI67:EJ67)</f>
        <v>0</v>
      </c>
      <c r="EM67" s="101" t="s">
        <v>49</v>
      </c>
      <c r="EN67" s="101">
        <v>0.23</v>
      </c>
      <c r="EO67" s="101">
        <v>0.1</v>
      </c>
      <c r="ER67" s="88"/>
      <c r="ES67" s="88"/>
      <c r="ET67" s="88"/>
    </row>
    <row r="68" spans="139:150" x14ac:dyDescent="0.25">
      <c r="ER68" s="88"/>
      <c r="ES68" s="88"/>
      <c r="ET68" s="88"/>
    </row>
    <row r="69" spans="139:150" x14ac:dyDescent="0.25">
      <c r="EM69" s="101" t="s">
        <v>54</v>
      </c>
      <c r="EN69" s="101">
        <v>7.0000000000000007E-2</v>
      </c>
      <c r="EO69" s="101">
        <v>0.12</v>
      </c>
      <c r="ER69" s="88"/>
      <c r="ES69" s="88"/>
      <c r="ET69" s="88"/>
    </row>
    <row r="70" spans="139:150" x14ac:dyDescent="0.25">
      <c r="EI70" s="101">
        <f>IF(Calculette!C70="",0,1)</f>
        <v>0</v>
      </c>
      <c r="EJ70" s="101">
        <f>IF(Calculette!F70="",0,1)</f>
        <v>0</v>
      </c>
      <c r="EM70" s="101" t="s">
        <v>106</v>
      </c>
      <c r="EN70" s="101">
        <v>0.24</v>
      </c>
      <c r="EO70" s="101">
        <v>0.17</v>
      </c>
      <c r="ER70" s="88"/>
      <c r="ES70" s="88"/>
      <c r="ET70" s="88"/>
    </row>
    <row r="71" spans="139:150" x14ac:dyDescent="0.25">
      <c r="ER71" s="88"/>
      <c r="ES71" s="88"/>
      <c r="ET71" s="88"/>
    </row>
    <row r="72" spans="139:150" x14ac:dyDescent="0.25">
      <c r="EI72" s="101">
        <f>IF(Calculette!C72="",0,1)</f>
        <v>0</v>
      </c>
      <c r="EJ72" s="101">
        <f>IF(Calculette!F72="",0,1)</f>
        <v>0</v>
      </c>
      <c r="EM72" s="101" t="s">
        <v>105</v>
      </c>
      <c r="EN72" s="101">
        <v>0.06</v>
      </c>
      <c r="EO72" s="101">
        <v>0.13</v>
      </c>
      <c r="ER72" s="88"/>
      <c r="ES72" s="88"/>
      <c r="ET72" s="88"/>
    </row>
    <row r="73" spans="139:150" x14ac:dyDescent="0.25">
      <c r="EO73" s="101" t="s">
        <v>107</v>
      </c>
      <c r="EP73" s="101" t="s">
        <v>108</v>
      </c>
      <c r="ER73" s="88"/>
      <c r="ES73" s="88"/>
      <c r="ET73" s="88"/>
    </row>
    <row r="74" spans="139:150" x14ac:dyDescent="0.25">
      <c r="EI74" s="101">
        <f>IF(Calculette!C74="",0,1)</f>
        <v>0</v>
      </c>
      <c r="EJ74" s="101">
        <f>IF(Calculette!F74="",0,1)</f>
        <v>0</v>
      </c>
      <c r="EM74" s="101" t="s">
        <v>62</v>
      </c>
      <c r="EN74" s="101">
        <v>0.49</v>
      </c>
      <c r="EO74" s="101">
        <v>0.27</v>
      </c>
      <c r="EP74" s="101">
        <v>0.28000000000000003</v>
      </c>
      <c r="ER74" s="88"/>
      <c r="ES74" s="88"/>
      <c r="ET74" s="88"/>
    </row>
    <row r="75" spans="139:150" x14ac:dyDescent="0.25">
      <c r="EJ75" s="124"/>
      <c r="ER75" s="88"/>
      <c r="ES75" s="88"/>
      <c r="ET75" s="88"/>
    </row>
    <row r="76" spans="139:150" x14ac:dyDescent="0.25">
      <c r="EI76" s="101">
        <f>IF(Calculette!C76="",0,1)</f>
        <v>0</v>
      </c>
      <c r="EJ76" s="124">
        <f>SUM(EI70:EI76,EJ70:EJ74)</f>
        <v>0</v>
      </c>
      <c r="EM76" s="101" t="s">
        <v>65</v>
      </c>
      <c r="EN76" s="101">
        <v>7.0000000000000007E-2</v>
      </c>
      <c r="EO76" s="101">
        <v>0.12</v>
      </c>
      <c r="ER76" s="88"/>
      <c r="ES76" s="88"/>
      <c r="ET76" s="88"/>
    </row>
    <row r="77" spans="139:150" x14ac:dyDescent="0.25">
      <c r="EI77" s="101">
        <f>IF(Calculette!C77="",0,1)</f>
        <v>0</v>
      </c>
      <c r="EJ77" s="124"/>
      <c r="ER77" s="88"/>
      <c r="ES77" s="88"/>
      <c r="ET77" s="88"/>
    </row>
    <row r="78" spans="139:150" x14ac:dyDescent="0.25">
      <c r="EJ78" s="124"/>
      <c r="EM78" s="101" t="s">
        <v>100</v>
      </c>
      <c r="EN78" s="101">
        <v>0.1</v>
      </c>
      <c r="EO78" s="101">
        <v>0.11</v>
      </c>
      <c r="ER78" s="88"/>
      <c r="ES78" s="88"/>
      <c r="ET78" s="88"/>
    </row>
    <row r="79" spans="139:150" x14ac:dyDescent="0.25">
      <c r="EI79" s="101">
        <f>IF(Calculette!C79="",0,1)</f>
        <v>0</v>
      </c>
      <c r="EJ79" s="124"/>
      <c r="ER79" s="88"/>
      <c r="ES79" s="88"/>
      <c r="ET79" s="88"/>
    </row>
    <row r="80" spans="139:150" x14ac:dyDescent="0.25">
      <c r="EI80" s="101">
        <f>IF(Calculette!C80="",0,1)</f>
        <v>0</v>
      </c>
      <c r="EJ80" s="101">
        <f>IF(Calculette!F80="",0,1)</f>
        <v>0</v>
      </c>
      <c r="EN80" s="101">
        <f>SUM(EN67:EN78)</f>
        <v>1.2600000000000002</v>
      </c>
      <c r="ER80" s="88"/>
      <c r="ES80" s="88"/>
      <c r="ET80" s="88"/>
    </row>
    <row r="81" spans="139:150" x14ac:dyDescent="0.25">
      <c r="ER81" s="88"/>
      <c r="ES81" s="88"/>
      <c r="ET81" s="88"/>
    </row>
    <row r="82" spans="139:150" x14ac:dyDescent="0.25">
      <c r="EI82" s="101">
        <f>IF(Calculette!C82="",0,1)</f>
        <v>0</v>
      </c>
      <c r="EJ82" s="101">
        <f>IF(Calculette!F82="",0,1)</f>
        <v>0</v>
      </c>
      <c r="ER82" s="88"/>
      <c r="ES82" s="88"/>
      <c r="ET82" s="88"/>
    </row>
    <row r="83" spans="139:150" x14ac:dyDescent="0.25">
      <c r="ER83" s="88"/>
      <c r="ES83" s="88"/>
      <c r="ET83" s="88"/>
    </row>
    <row r="84" spans="139:150" x14ac:dyDescent="0.25">
      <c r="EI84" s="101">
        <f>IF(Calculette!C84="",0,1)</f>
        <v>0</v>
      </c>
      <c r="EJ84" s="101">
        <f>IF(Calculette!F84="",0,1)</f>
        <v>0</v>
      </c>
      <c r="EK84" s="101">
        <f>SUM(EK63+EJ76+EK86)</f>
        <v>0</v>
      </c>
      <c r="ER84" s="88"/>
      <c r="ES84" s="88"/>
      <c r="ET84" s="88"/>
    </row>
    <row r="85" spans="139:150" x14ac:dyDescent="0.25">
      <c r="ER85" s="88"/>
      <c r="ES85" s="88"/>
      <c r="ET85" s="88"/>
    </row>
    <row r="86" spans="139:150" x14ac:dyDescent="0.25">
      <c r="EI86" s="101">
        <f>IF(Calculette!C86="",0,1)</f>
        <v>0</v>
      </c>
      <c r="EJ86" s="101">
        <f>IF(Calculette!F86="",0,1)</f>
        <v>0</v>
      </c>
      <c r="EK86" s="101">
        <f>SUM(EI80:EJ86)</f>
        <v>0</v>
      </c>
      <c r="ER86" s="88"/>
      <c r="ES86" s="88"/>
      <c r="ET86" s="88"/>
    </row>
    <row r="87" spans="139:150" x14ac:dyDescent="0.25">
      <c r="EI87" s="124"/>
      <c r="EJ87" s="101" t="s">
        <v>161</v>
      </c>
      <c r="EK87" s="101" t="s">
        <v>162</v>
      </c>
      <c r="EL87" s="101" t="s">
        <v>163</v>
      </c>
      <c r="EM87" s="126" t="s">
        <v>175</v>
      </c>
      <c r="ER87" s="88"/>
      <c r="ES87" s="88"/>
      <c r="ET87" s="88"/>
    </row>
    <row r="88" spans="139:150" x14ac:dyDescent="0.25">
      <c r="EI88" s="127" t="s">
        <v>109</v>
      </c>
      <c r="EJ88" s="128">
        <f>(SUM(EJ44*Calculette!E14,IF(Calculette!E20="Avec césarienne",EJ33*Calculette!E14,EK33*Calculette!E14),IF(Calculette!E22="Par l'insémination",EJ35*Calculette!E14,"0"),IF(Calculette!E25="Les exploitants",Calculette!E14*EJ37,"0"),IF(Calculette!E27="Les exploitants",EJ39*Calculette!E14,"0"),IF(Calculette!E29="Les exploitants",Calculette!E14*EJ41,"0"),IF(Calculette!E31="Les exploitants",EJ43*Calculette!E14,"0"),IF(Calculette!C49="Les exploitants",ES59*Calculette!E14,IF(Calculette!C49="Les exploitants",Calculette!E14*ES61,ES63*Calculette!E14))))</f>
        <v>0</v>
      </c>
      <c r="EK88" s="128">
        <f>(SUM(IF(Calculette!E25="Les bénévoles",Calculette!E14*EJ37,"0"),IF(Calculette!E27="Les bénévoles",EJ39*Calculette!E14,"0"),IF(Calculette!E29="Les bénévoles",Calculette!E14*EJ41,"0"),IF(Calculette!E31="Les bénévoles",EJ43*Calculette!E14,"0")))</f>
        <v>0</v>
      </c>
      <c r="EL88" s="128">
        <f>(SUM(IF(Calculette!E25="Un tiers",Calculette!E14*EJ37,"0"),IF(Calculette!E27="Un tiers",EJ39*Calculette!E14,"0"),IF(Calculette!E29="Un tiers",Calculette!E14*EJ41,"0"),IF(Calculette!E31="Un tiers",EJ43*Calculette!E14,"0")))</f>
        <v>0</v>
      </c>
      <c r="EM88" s="101">
        <f>(SUM(IF(Calculette!E25="Le salarié",Calculette!E14*EJ37,"0"),IF(Calculette!E27="Le salarié",EJ39*Calculette!E14,"0"),IF(Calculette!E29="Le salarié",Calculette!E14*EJ41,"0"),IF(Calculette!E31="Le salarié",EJ43*Calculette!E14,"0")))</f>
        <v>0</v>
      </c>
      <c r="EN88" s="101" t="s">
        <v>174</v>
      </c>
      <c r="EP88" s="130">
        <f>EM89</f>
        <v>0</v>
      </c>
      <c r="ER88" s="88"/>
      <c r="ES88" s="88"/>
      <c r="ET88" s="88"/>
    </row>
    <row r="89" spans="139:150" x14ac:dyDescent="0.25">
      <c r="EJ89" s="129" t="s">
        <v>101</v>
      </c>
      <c r="EK89" s="129" t="s">
        <v>102</v>
      </c>
      <c r="EL89" s="129" t="s">
        <v>103</v>
      </c>
      <c r="EM89" s="130">
        <f>EJ88+EK88+EL88+EM88</f>
        <v>0</v>
      </c>
      <c r="EP89" s="130"/>
      <c r="ER89" s="88"/>
      <c r="ES89" s="88"/>
      <c r="ET89" s="88"/>
    </row>
    <row r="90" spans="139:150" x14ac:dyDescent="0.25">
      <c r="EI90" s="132" t="s">
        <v>219</v>
      </c>
      <c r="EM90" s="101">
        <f>SUM(EM91:EM94)</f>
        <v>0</v>
      </c>
      <c r="EN90" s="101" t="s">
        <v>110</v>
      </c>
      <c r="EP90" s="130">
        <f>EM90</f>
        <v>0</v>
      </c>
      <c r="ER90" s="88"/>
      <c r="ES90" s="88"/>
      <c r="ET90" s="88"/>
    </row>
    <row r="91" spans="139:150" x14ac:dyDescent="0.25">
      <c r="EI91" s="101" t="s">
        <v>165</v>
      </c>
      <c r="EJ91" s="128">
        <f>(SUM(IF(Calculette!C55="Les exploitants",Calculette!C51*EN55,"0"),IF(Calculette!C57="Les exploitants",Calculette!C51*EN57,"0"),IF(Calculette!C59="Les exploitants",Calculette!C51*EN59,"0"),IF(Calculette!C61="Les exploitants",Calculette!C51*EN61,"0"),IF(Calculette!C63="Les exploitants",Calculette!C51*EN63,"0"),IF(Calculette!F63="Les exploitants",Calculette!C51*EP63,"0")))</f>
        <v>0</v>
      </c>
      <c r="EK91" s="101">
        <f>((SUM(IF(Calculette!C55="Les exploitants",Calculette!F49*EN55,"0"),IF(Calculette!C57="Les exploitants",Calculette!F49*EN57,"0"),IF(Calculette!C59="Les exploitants",Calculette!F49*EN59,"0"),IF(Calculette!C61="Les exploitants",Calculette!F49*EN61,"0"),IF(Calculette!C63="Les exploitants",Calculette!F49*EN63,"0"),IF(Calculette!F63="Les exploitants",Calculette!F49*EP63,"0"),IF(Calculette!F55="Les exploitants",Calculette!F49*EP55,"0"),IF(Calculette!F57="Les exploitants",Calculette!F49*EP57,"0"),IF(Calculette!F59="Les exploitants",Calculette!F49*EP59,"0"),IF(Calculette!F61="Les exploitants",Calculette!F49*EP61,"0"))))</f>
        <v>0</v>
      </c>
      <c r="EL91" s="128">
        <f>((SUM(IF(Calculette!C55="Les exploitants",Calculette!F51*EN55,"0"),IF(Calculette!C57="Les exploitants",Calculette!F51*EN57,"0"),IF(Calculette!C59="Les exploitants",Calculette!F51*EN59,"0"),IF(Calculette!C61="Les exploitants",Calculette!F51*EN61,"0"),IF(Calculette!C63="Les exploitants",Calculette!F51*EN63,"0"),IF(Calculette!F63="Les exploitants",Calculette!F51*EP63,"0"),IF(Calculette!F55="Les exploitants",Calculette!F51*EP55*3,"0"),IF(Calculette!F57="Les exploitants",Calculette!F51*EP57*3,"0"),IF(Calculette!F59="Les exploitants",Calculette!F51*EP59*3,"0"),IF(Calculette!F61="Les exploitants",Calculette!F51*EP61*3,"0"))))</f>
        <v>0</v>
      </c>
      <c r="EM91" s="101">
        <f>EJ91+EK91+EL91</f>
        <v>0</v>
      </c>
      <c r="EN91" s="101" t="s">
        <v>111</v>
      </c>
      <c r="EP91" s="130">
        <f>SUM(EM96:EM99)</f>
        <v>0</v>
      </c>
      <c r="ER91" s="88"/>
      <c r="ES91" s="88"/>
      <c r="ET91" s="88"/>
    </row>
    <row r="92" spans="139:150" x14ac:dyDescent="0.25">
      <c r="EI92" s="101" t="s">
        <v>166</v>
      </c>
      <c r="EJ92" s="101">
        <f>(SUM(IF(Calculette!C55="Les bénévoles",Calculette!C51*EN55,"0"),IF(Calculette!C57="Les bénévoles",Calculette!C51*EN57,"0"),IF(Calculette!C59="Les bénévoles",Calculette!C51*EN59,"0"),IF(Calculette!C61="Les bénévoles",Calculette!C51*EN61,"0"),IF(Calculette!C63="Les bénévoles",Calculette!C51*EN63,"0"),IF(Calculette!F63="Les bénévoles",Calculette!C51*EP63,"0")))</f>
        <v>0</v>
      </c>
      <c r="EK92" s="101">
        <f>((SUM(IF(Calculette!C55="Les bénévoles",Calculette!F49*EN55,"0"),IF(Calculette!C57="Les bénévoles",Calculette!F49*EN57,"0"),IF(Calculette!C59="Les bénévoles",Calculette!F49*EN59,"0"),IF(Calculette!C61="Les bénévoles",Calculette!F49*EN61,"0"),IF(Calculette!C63="Les bénévoles",Calculette!F49*EN63,"0"),IF(Calculette!F63="Les bénévoles",Calculette!F49*EP63,"0"),IF(Calculette!F55="Les bénévoles",Calculette!F49*EP55,"0"),IF(Calculette!F57="Les bénévoles",Calculette!F49*EP57,"0"),IF(Calculette!F59="Les bénévoles",Calculette!F49*EP59,"0"),IF(Calculette!F61="Les bénévoles",Calculette!F49*EP61,"0"))))</f>
        <v>0</v>
      </c>
      <c r="EL92" s="101">
        <f>((SUM(IF(Calculette!C55="Les bénévoles",Calculette!F51*EN55,"0"),IF(Calculette!C57="Les bénévoles",Calculette!F51*EN57,"0"),IF(Calculette!C59="Les bénévoles",Calculette!F51*EN59,"0"),IF(Calculette!C61="Les bénévoles",Calculette!F51*EN61,"0"),IF(Calculette!C63="Les bénévoles",Calculette!F51*EN63,"0"),IF(Calculette!F63="Les bénévoles",Calculette!F51*EP63,"0"),IF(Calculette!F55="Les bénévoles",Calculette!F51*EP55*3,"0"),IF(Calculette!F57="Les bénévoles",Calculette!F51*EP57*3,"0"),IF(Calculette!F59="Les bénévoles",Calculette!F51*EP59*3,"0"),IF(Calculette!F61="Les bénévoles",Calculette!F51*EP61*3,"0"))))</f>
        <v>0</v>
      </c>
      <c r="EM92" s="101">
        <f>EJ92+EK92+EL92</f>
        <v>0</v>
      </c>
      <c r="EP92" s="130">
        <f>SUM(EP88:EP91)</f>
        <v>0</v>
      </c>
      <c r="ER92" s="88"/>
      <c r="ES92" s="88"/>
      <c r="ET92" s="88"/>
    </row>
    <row r="93" spans="139:150" x14ac:dyDescent="0.25">
      <c r="EI93" s="101" t="s">
        <v>167</v>
      </c>
      <c r="EJ93" s="101">
        <f>(SUM(IF(Calculette!C55="Un tiers",Calculette!C51*EN55,"0"),IF(Calculette!C57="Un tiers",Calculette!C51*EN57,"0"),IF(Calculette!C59="Un tiers",Calculette!C51*EN59,"0"),IF(Calculette!C61="Un tiers",Calculette!C51*EN61,"0"),IF(Calculette!C63="Un tiers",Calculette!C51*EN63,"0"),IF(Calculette!F63="Un tiers",Calculette!C51*EP63,"0")))</f>
        <v>0</v>
      </c>
      <c r="EK93" s="101">
        <f>((SUM(IF(Calculette!C55="Un tiers",Calculette!F49*EN55,"0"),IF(Calculette!C57="Un tiers",Calculette!F49*EN57,"0"),IF(Calculette!C59="Un tiers",Calculette!F49*EN59,"0"),IF(Calculette!C61="Un tiers",Calculette!F49*EN61,"0"),IF(Calculette!C63="Un tiers",Calculette!F49*EN63,"0"),IF(Calculette!F63="Un tiers",Calculette!F49*EP63,"0"),IF(Calculette!F55="Un tiers",Calculette!F49*EP55,"0"),IF(Calculette!F57="Un tiers",Calculette!F49*EP57,"0"),IF(Calculette!F59="Un tiers",Calculette!F49*EP59,"0"),IF(Calculette!F61="Un tiers",Calculette!F49*EP61,"0"))))</f>
        <v>0</v>
      </c>
      <c r="EL93" s="101">
        <f>((SUM(IF(Calculette!C55="Un tiers",Calculette!F51*EN55,"0"),IF(Calculette!C57="Un tiers",Calculette!F51*EN57,"0"),IF(Calculette!C59="Un tiers",Calculette!F51*EN59,"0"),IF(Calculette!C61="Un tiers",Calculette!F51*EN61,"0"),IF(Calculette!C63="Un tiers",Calculette!F51*EN63,"0"),IF(Calculette!F63="Un tiers",Calculette!F51*EP63,"0"),IF(Calculette!F55="Un tiers",Calculette!F51*EP55*3,"0"),IF(Calculette!F57="Un tiers",Calculette!F51*EP57*3,"0"),IF(Calculette!F59="Un tiers",Calculette!F51*EP59*3,"0"),IF(Calculette!F61="Un tiers",Calculette!F51*EP61*3,"0"))))</f>
        <v>0</v>
      </c>
      <c r="EM93" s="101">
        <f>EJ93+EK93+EL93</f>
        <v>0</v>
      </c>
      <c r="ER93" s="88"/>
      <c r="ES93" s="88"/>
      <c r="ET93" s="88"/>
    </row>
    <row r="94" spans="139:150" x14ac:dyDescent="0.25">
      <c r="EI94" s="124" t="s">
        <v>175</v>
      </c>
      <c r="EJ94" s="124">
        <f>(SUM(IF(Calculette!C55="Le salarié",Calculette!C51*EN55,"0"),IF(Calculette!C57="Le salarié",Calculette!C51*EN57,"0"),IF(Calculette!C59="Le salarié",Calculette!C51*EN59,"0"),IF(Calculette!C61="Le salarié",Calculette!C51*EN61,"0"),IF(Calculette!C63="Le salarié",Calculette!C51*EN63,"0"),IF(Calculette!F63="Le salarié",Calculette!C51*EP63,"0")))</f>
        <v>0</v>
      </c>
      <c r="EK94" s="101">
        <f>((SUM(IF(Calculette!C55="Le salarié",Calculette!F49*EN55,"0"),IF(Calculette!C57="Le salarié",Calculette!F49*EN57,"0"),IF(Calculette!C59="Le salarié",Calculette!F49*EN59,"0"),IF(Calculette!C61="Le salarié",Calculette!F49*EN61,"0"),IF(Calculette!C63="Le salarié",Calculette!F49*EN63,"0"),IF(Calculette!F63="Le salarié",Calculette!F49*EP63,"0"),IF(Calculette!F55="Le salarié",Calculette!F49*EP55,"0"),IF(Calculette!F57="Le salarié",Calculette!F49*EP57,"0"),IF(Calculette!F59="Le salarié",Calculette!F49*EP59,"0"),IF(Calculette!F61="Le salarié",Calculette!F49*EP61,"0"))))</f>
        <v>0</v>
      </c>
      <c r="EL94" s="101">
        <f>((SUM(IF(Calculette!C55="Le salarié",Calculette!F51*EN55,"0"),IF(Calculette!C57="Le salarié",Calculette!F51*EN57,"0"),IF(Calculette!C59="Le salarié",Calculette!F51*EN59,"0"),IF(Calculette!C61="Le salarié",Calculette!F51*EN61,"0"),IF(Calculette!C63="Le salarié",Calculette!F51*EN63,"0"),IF(Calculette!F63="Le salarié",Calculette!F51*EP63,"0"),IF(Calculette!F55="Le salarié",Calculette!F51*EP55*3,"0"),IF(Calculette!F57="Le salarié",Calculette!F51*EP57*3,"0"),IF(Calculette!F59="Le salarié",Calculette!F51*EP59*3,"0"),IF(Calculette!F61="Le salarié",Calculette!F51*EP61*3,"0"))))</f>
        <v>0</v>
      </c>
      <c r="EM94" s="101">
        <f>EJ94+EK94+EL94</f>
        <v>0</v>
      </c>
      <c r="ER94" s="88"/>
      <c r="ES94" s="88"/>
      <c r="ET94" s="88"/>
    </row>
    <row r="95" spans="139:150" x14ac:dyDescent="0.25">
      <c r="EI95" s="127" t="s">
        <v>111</v>
      </c>
      <c r="EJ95" s="127" t="s">
        <v>99</v>
      </c>
      <c r="EK95" s="129" t="s">
        <v>104</v>
      </c>
      <c r="EL95" s="128"/>
      <c r="EM95" s="130"/>
      <c r="ER95" s="88"/>
      <c r="ES95" s="88"/>
      <c r="ET95" s="88"/>
    </row>
    <row r="96" spans="139:150" x14ac:dyDescent="0.25">
      <c r="EI96" s="101" t="s">
        <v>165</v>
      </c>
      <c r="EJ96" s="124">
        <f>(SUM(IF(Calculette!C70="Les exploitants",EN67*Calculette!C67,"0"),IF(Calculette!C72="Les exploitants",EN69*Calculette!C67,"0"),IF(Calculette!C74="Les exploitants",EN70*Calculette!C67,"0"),IF(Calculette!C76="Les exploitants",EN72*Calculette!C67,"0"),IF(Calculette!F70="Les exploitants",EN76*Calculette!C67,"0"),IF(Calculette!F72="Les exploitants",EN74*Calculette!C67,"0"),IF(Calculette!F74="Les exploitants",EN78*Calculette!C67,"0")))</f>
        <v>0</v>
      </c>
      <c r="EK96" s="128">
        <f>(SUM(IF(Calculette!C80="Les exploitants",EO67*Calculette!F67,"0"),IF(Calculette!C82="Les exploitants",EO69*Calculette!F67,"0"),IF(Calculette!C84="Les exploitants",EO70*Calculette!F67,"0"),IF(Calculette!C86="Les exploitants",EO72*Calculette!F67,"0"),IF(Calculette!F80="Les exploitants",EO76*Calculette!F67,"0"),IF(Calculette!F82="Les exploitants",EO74*Calculette!F67,"0"),IF(Calculette!F84="Les exploitants",EP74*Calculette!F67,"0"),IF(Calculette!F86="Les exploitants",EO78*Calculette!F67,"0")))</f>
        <v>0</v>
      </c>
      <c r="EL96" s="128"/>
      <c r="EM96" s="130">
        <f>SUM(EJ96:EK96)</f>
        <v>0</v>
      </c>
      <c r="ER96" s="88"/>
      <c r="ES96" s="88"/>
      <c r="ET96" s="88"/>
    </row>
    <row r="97" spans="139:150" x14ac:dyDescent="0.25">
      <c r="EI97" s="124" t="s">
        <v>166</v>
      </c>
      <c r="EJ97" s="124">
        <f>(SUM(IF(Calculette!C70="Les bénévoles",EN67*Calculette!C67,"0"),IF(Calculette!C72="Les bénévoles",EN69*Calculette!C67,"0"),IF(Calculette!C74="Les bénévoles",EN70*Calculette!C67,"0"),IF(Calculette!C76="Les bénévoles",EN72*Calculette!C67,"0"),IF(Calculette!F70="Les bénévoles",EN76*Calculette!C67,"0"),IF(Calculette!F72="Les bénévoles",EN74*Calculette!C67,"0"),IF(Calculette!F74="Les bénévoles",EN78*Calculette!C67,"0")))</f>
        <v>0</v>
      </c>
      <c r="EK97" s="101">
        <f>(SUM(IF(Calculette!C80="Les bénévoles",EO67*Calculette!F67,"0"),IF(Calculette!C82="Les bénévoles",EO69*Calculette!F67,"0"),IF(Calculette!C84="Les bénévoles",EO70*Calculette!F67,"0"),IF(Calculette!C86="Les bénévoles",EO72*Calculette!F67,"0"),IF(Calculette!F80="Les bénévoles",EO76*Calculette!F67,"0"),IF(Calculette!F82="Les bénévoles",EO74*Calculette!F67,"0"),IF(Calculette!F84="Les bénévoles",EP74*Calculette!F67,"0"),IF(Calculette!F86="Les bénévoles",EO78*Calculette!F67,"0")))</f>
        <v>0</v>
      </c>
      <c r="EM97" s="130">
        <f>SUM(EJ97:EK97)</f>
        <v>0</v>
      </c>
      <c r="EP97" s="101">
        <f>(SUM(IF(Calculette!C80="Un tiers",EO67*Calculette!F67,"0"),IF(Calculette!C82="Un tiers",EO69*Calculette!F67,"0"),IF(Calculette!C84="Un tiers",EO70*Calculette!F67,"0"),IF(Calculette!C86="Un tiers",EO72*Calculette!F67,"0"),IF(Calculette!F80="Un tiers",EO76*Calculette!F67,"0"),IF(Calculette!F82="Un tiers",EO74*Calculette!F67,"0"),IF(Calculette!F84="Un tiers",EP74*Calculette!F67,"0"),IF(Calculette!F86="Un tiers",EO78*Calculette!F67,"0")))</f>
        <v>0</v>
      </c>
      <c r="ER97" s="88"/>
      <c r="ES97" s="88"/>
      <c r="ET97" s="88"/>
    </row>
    <row r="98" spans="139:150" x14ac:dyDescent="0.25">
      <c r="EI98" s="124" t="s">
        <v>167</v>
      </c>
      <c r="EJ98" s="101">
        <f>(SUM(IF(Calculette!C70="Un tiers",EN67*Calculette!C67,"0"),IF(Calculette!C72="Un tiers",EN69*Calculette!C67,"0"),IF(Calculette!C74="Un tiers",EN70*Calculette!C67,"0"),IF(Calculette!C76="Un tiers",EN72*Calculette!C67,"0"),IF(Calculette!F70="Un tiers",EN76*Calculette!C67,"0"),IF(Calculette!F72="Un tiers",EN74*Calculette!C67,"0"),IF(Calculette!F74="Un tiers",EN78*Calculette!C67,"0")))</f>
        <v>0</v>
      </c>
      <c r="EK98" s="101">
        <f>(SUM(IF(Calculette!C80="Un tiers",EO67*Calculette!F67,"0"),IF(Calculette!C82="Un tiers",EO69*Calculette!F67,"0"),IF(Calculette!C84="Un tiers",EO70*Calculette!F67,"0"),IF(Calculette!C86="Un tiers",EO72*Calculette!F67,"0"),IF(Calculette!F80="Un tiers",EO76*Calculette!F67,"0"),IF(Calculette!F82="Un tiers",EO74*Calculette!F67,"0"),IF(Calculette!F84="Un tiers",EP74*Calculette!F67,"0"),IF(Calculette!F86="Un tiers",EO78*Calculette!F67,"0")))</f>
        <v>0</v>
      </c>
      <c r="EM98" s="130">
        <f>SUM(EJ98:EK98)</f>
        <v>0</v>
      </c>
      <c r="ER98" s="88"/>
      <c r="ES98" s="88"/>
      <c r="ET98" s="88"/>
    </row>
    <row r="99" spans="139:150" x14ac:dyDescent="0.25">
      <c r="EI99" s="101" t="s">
        <v>176</v>
      </c>
      <c r="EJ99" s="101">
        <f>(SUM(IF(Calculette!C70="Le salarié",EN67*Calculette!C67,"0"),IF(Calculette!C72="Le salarié",EN69*Calculette!C67,"0"),IF(Calculette!C74="Le salarié",EN70*Calculette!C67,"0"),IF(Calculette!C76="Le salarié",EN72*Calculette!C67,"0"),IF(Calculette!F70="Le salarié",EN76*Calculette!C67,"0"),IF(Calculette!F72="Le salarié",EN74*Calculette!C67,"0"),IF(Calculette!F74="Le salarié",EN78*Calculette!C67,"0")))</f>
        <v>0</v>
      </c>
      <c r="EK99" s="101">
        <f>(SUM(IF(Calculette!C80="Le salarié",EO67*Calculette!F67,"0"),IF(Calculette!C82="Le salarié",EO69*Calculette!F67,"0"),IF(Calculette!C84="Le salarié",EO70*Calculette!F67,"0"),IF(Calculette!C86="Le salarié",EO72*Calculette!F67,"0"),IF(Calculette!F80="Le salarié",EO76*Calculette!F67,"0"),IF(Calculette!F82="Le salarié",EO74*Calculette!F67,"0"),IF(Calculette!F84="Le salarié",EP74*Calculette!F67,"0"),IF(Calculette!F86="Le salarié",EO78*Calculette!F67,"0")))</f>
        <v>0</v>
      </c>
      <c r="EM99" s="130">
        <f>SUM(EJ99:EK99)</f>
        <v>0</v>
      </c>
      <c r="ER99" s="88"/>
      <c r="ES99" s="88"/>
      <c r="ET99" s="88"/>
    </row>
    <row r="100" spans="139:150" x14ac:dyDescent="0.25">
      <c r="EK100" s="101" t="s">
        <v>77</v>
      </c>
      <c r="EL100" s="101">
        <v>468</v>
      </c>
      <c r="EM100" s="101">
        <v>234</v>
      </c>
      <c r="EN100" s="101">
        <v>104</v>
      </c>
      <c r="ER100" s="88"/>
      <c r="ES100" s="88"/>
      <c r="ET100" s="88"/>
    </row>
    <row r="101" spans="139:150" x14ac:dyDescent="0.25">
      <c r="ER101" s="88"/>
      <c r="ES101" s="88"/>
      <c r="ET101" s="88"/>
    </row>
    <row r="102" spans="139:150" x14ac:dyDescent="0.25">
      <c r="EK102" s="101" t="s">
        <v>112</v>
      </c>
      <c r="EL102" s="101">
        <f>IF(Calculette!E104="Niveau moyen (4h30/semaine)",EM100,IF(Calculette!E104="Niveau élevé (9h/semaine)",EL100,EN100))</f>
        <v>104</v>
      </c>
      <c r="ER102" s="88"/>
      <c r="ES102" s="88"/>
      <c r="ET102" s="88"/>
    </row>
    <row r="103" spans="139:150" x14ac:dyDescent="0.25">
      <c r="ER103" s="88"/>
      <c r="ES103" s="88"/>
      <c r="ET103" s="88"/>
    </row>
    <row r="104" spans="139:150" x14ac:dyDescent="0.25">
      <c r="EM104" s="101" t="s">
        <v>116</v>
      </c>
      <c r="EN104" s="133" t="s">
        <v>117</v>
      </c>
      <c r="EO104" s="133"/>
      <c r="EP104" s="133"/>
      <c r="ER104" s="88"/>
      <c r="ES104" s="88"/>
      <c r="ET104" s="88"/>
    </row>
    <row r="105" spans="139:150" x14ac:dyDescent="0.25">
      <c r="EM105" s="101" t="s">
        <v>115</v>
      </c>
      <c r="EN105" s="133"/>
      <c r="EO105" s="133"/>
      <c r="EP105" s="133"/>
      <c r="ER105" s="88"/>
      <c r="ES105" s="88"/>
      <c r="ET105" s="88"/>
    </row>
    <row r="106" spans="139:150" x14ac:dyDescent="0.25">
      <c r="EI106" s="125" t="s">
        <v>114</v>
      </c>
      <c r="EJ106" s="130" t="e">
        <f>(ER42)+((EJ88+EJ91+EJ96+EK96+EL91+EK91)*8+EL102)</f>
        <v>#DIV/0!</v>
      </c>
      <c r="EK106" s="125"/>
      <c r="EN106" s="133" t="s">
        <v>46</v>
      </c>
      <c r="EO106" s="133">
        <f>(SUM(IF(Calculette!C55="Non",Calculette!C51*EN55,"0"),IF(Calculette!C57="Non",Calculette!C51*EN57,"0"),IF(Calculette!C59="Non",Calculette!C51*EN59,"0"),IF(Calculette!C61="Non",Calculette!C51*EN61,"0"),IF(Calculette!C63="Non",Calculette!C51*EN63,"0"),IF(Calculette!F63="Non",Calculette!C51*EP63,"0")))*8</f>
        <v>0</v>
      </c>
      <c r="EP106" s="133">
        <f>((SUM(IF(Calculette!C55="Non",Calculette!F49*EN55,"0"),IF(Calculette!C57="Non",Calculette!F49*EN57,"0"),IF(Calculette!C59="Non",Calculette!F49*EN59,"0"),IF(Calculette!C61="Non",Calculette!F49*EN61,"0"),IF(Calculette!C63="Non",Calculette!F49*EN63,"0"),IF(Calculette!F63="Non",Calculette!F49*EP63,"0"),IF(Calculette!F55="Non",Calculette!F49*EP55,"0"),IF(Calculette!F57="Non",Calculette!F49*EP57,"0"),IF(Calculette!F59="Non",Calculette!F49*EP59,"0"),IF(Calculette!F61="Non",Calculette!F49*EP61,"0"))))*8</f>
        <v>0</v>
      </c>
      <c r="EQ106" s="101">
        <f>((SUM(IF(Calculette!C55="Non",Calculette!F51*EN55,"0"),IF(Calculette!C57="Non",Calculette!F51*EN57,"0"),IF(Calculette!C59="Non",Calculette!F51*EN59,"0"),IF(Calculette!C61="Non",Calculette!F51*EN61,"0"),IF(Calculette!C63="Non",Calculette!F51*EN63,"0"),IF(Calculette!F63="Non",Calculette!F51*EP63,"0"),IF(Calculette!F55="Non",Calculette!F51*EP55*3,"0"),IF(Calculette!F57="Non",Calculette!F51*EP57*3,"0"),IF(Calculette!F59="Non",Calculette!F51*EP59*3,"0"),IF(Calculette!F61="Non",Calculette!F51*EP61*3,"0"))))</f>
        <v>0</v>
      </c>
      <c r="ER106" s="88"/>
      <c r="ES106" s="88"/>
      <c r="ET106" s="88"/>
    </row>
    <row r="107" spans="139:150" x14ac:dyDescent="0.25">
      <c r="EI107" s="125"/>
      <c r="EJ107" s="130"/>
      <c r="EN107" s="133"/>
      <c r="EO107" s="133"/>
      <c r="EP107" s="133"/>
      <c r="ER107" s="88"/>
      <c r="ES107" s="88"/>
      <c r="ET107" s="88"/>
    </row>
    <row r="108" spans="139:150" x14ac:dyDescent="0.25">
      <c r="EI108" s="125" t="s">
        <v>120</v>
      </c>
      <c r="EJ108" s="130" t="e">
        <f>EJ106/Calculette!E5</f>
        <v>#DIV/0!</v>
      </c>
      <c r="EK108" s="101" t="s">
        <v>130</v>
      </c>
      <c r="EM108" s="101" t="e">
        <f>(ER42)+((EJ88+EJ91+EJ96+EK96)*8)/Calculette!E5</f>
        <v>#DIV/0!</v>
      </c>
      <c r="EN108" s="133" t="s">
        <v>99</v>
      </c>
      <c r="EO108" s="133">
        <f>(SUM(IF(Calculette!C70="Non",EN67*Calculette!C67,"0"),IF(Calculette!C72="Non",EN69*Calculette!C67,"0"),IF(Calculette!C74="Non",EN70*Calculette!C67,"0"),IF(Calculette!C76="Non",EN72*Calculette!C67,"0"),IF(Calculette!F70="Non",EN76*Calculette!C67,"0"),IF(Calculette!F72="Non",EN74*Calculette!C67,"0"),IF(Calculette!F74="Non",EN78*Calculette!C67,"0")))*8</f>
        <v>0</v>
      </c>
      <c r="EP108" s="133"/>
      <c r="ER108" s="88"/>
      <c r="ES108" s="88"/>
      <c r="ET108" s="88"/>
    </row>
    <row r="109" spans="139:150" x14ac:dyDescent="0.25">
      <c r="EI109" s="101" t="s">
        <v>125</v>
      </c>
      <c r="EJ109" s="130">
        <f>ER41*(Calculette!E7/100)+((EM88+EJ94+EK94+EL94+EJ99+EK99)*8)</f>
        <v>0</v>
      </c>
      <c r="EN109" s="133" t="s">
        <v>118</v>
      </c>
      <c r="EO109" s="133">
        <f>(SUM(IF(Calculette!C80="Non",EO67*Calculette!F67,"0"),IF(Calculette!C82="Non",EO69*Calculette!F67,"0"),IF(Calculette!C84="Non",EO70*Calculette!F67,"0"),IF(Calculette!C86="Non",EO72*Calculette!F67,"0"),IF(Calculette!F80="Non",EO76*Calculette!F67,"0"),IF(Calculette!F82="Non",EO74*Calculette!F67,"0"),IF(Calculette!F84="Non",EP74*Calculette!F67,"0"),IF(Calculette!F86="Non",EO78*Calculette!F67,"0")))</f>
        <v>0</v>
      </c>
      <c r="EP109" s="133"/>
      <c r="ER109" s="88"/>
      <c r="ES109" s="88"/>
      <c r="ET109" s="88"/>
    </row>
    <row r="110" spans="139:150" x14ac:dyDescent="0.25">
      <c r="EJ110" s="130"/>
      <c r="ER110" s="88"/>
      <c r="ES110" s="88"/>
      <c r="ET110" s="88"/>
    </row>
    <row r="111" spans="139:150" x14ac:dyDescent="0.25">
      <c r="EI111" s="101" t="s">
        <v>119</v>
      </c>
      <c r="EJ111" s="130">
        <f>(ER41*(Calculette!E9/100))+((EJ92+EK92+EL92+EK88+EJ97+EK97)*8)</f>
        <v>0</v>
      </c>
      <c r="EO111" s="101">
        <f>SUM(EO106:EQ106,EO108,EO109)</f>
        <v>0</v>
      </c>
      <c r="ER111" s="88"/>
      <c r="ES111" s="88"/>
      <c r="ET111" s="88"/>
    </row>
    <row r="112" spans="139:150" x14ac:dyDescent="0.25">
      <c r="EI112" s="101" t="s">
        <v>177</v>
      </c>
      <c r="EJ112" s="130">
        <f>(EL88+EJ93+EK93+EL93+EJ98+EK98)*8</f>
        <v>0</v>
      </c>
      <c r="EN112" s="101" t="s">
        <v>131</v>
      </c>
      <c r="EQ112" s="101" t="e">
        <f>EO111/((#REF!+EM96)*8)</f>
        <v>#REF!</v>
      </c>
      <c r="ER112" s="88"/>
      <c r="ES112" s="88"/>
      <c r="ET112" s="88"/>
    </row>
    <row r="113" spans="139:150" x14ac:dyDescent="0.25">
      <c r="EJ113" s="131" t="e">
        <f>EM108/(EJ106+EJ109+EJ111+EJ112)</f>
        <v>#DIV/0!</v>
      </c>
      <c r="ER113" s="88"/>
      <c r="ES113" s="88"/>
      <c r="ET113" s="88"/>
    </row>
    <row r="114" spans="139:150" x14ac:dyDescent="0.25">
      <c r="ER114" s="88"/>
      <c r="ES114" s="88"/>
      <c r="ET114" s="88"/>
    </row>
    <row r="115" spans="139:150" x14ac:dyDescent="0.25">
      <c r="ER115" s="88"/>
      <c r="ES115" s="88"/>
      <c r="ET115" s="88"/>
    </row>
    <row r="116" spans="139:150" x14ac:dyDescent="0.25">
      <c r="ER116" s="88"/>
      <c r="ES116" s="88"/>
      <c r="ET116" s="88"/>
    </row>
    <row r="117" spans="139:150" x14ac:dyDescent="0.25">
      <c r="ER117" s="88"/>
      <c r="ES117" s="88"/>
      <c r="ET117" s="88"/>
    </row>
    <row r="118" spans="139:150" x14ac:dyDescent="0.25">
      <c r="ER118" s="88"/>
      <c r="ES118" s="88"/>
      <c r="ET118" s="88"/>
    </row>
    <row r="119" spans="139:150" x14ac:dyDescent="0.25">
      <c r="EI119" s="129" t="s">
        <v>7</v>
      </c>
      <c r="ER119" s="88"/>
      <c r="ES119" s="88"/>
      <c r="ET119" s="88"/>
    </row>
    <row r="120" spans="139:150" x14ac:dyDescent="0.25">
      <c r="ER120" s="88"/>
      <c r="ES120" s="88"/>
      <c r="ET120" s="88"/>
    </row>
    <row r="121" spans="139:150" x14ac:dyDescent="0.25">
      <c r="ER121" s="88"/>
      <c r="ES121" s="88"/>
      <c r="ET121" s="88"/>
    </row>
    <row r="122" spans="139:150" x14ac:dyDescent="0.25">
      <c r="ER122" s="88"/>
      <c r="ES122" s="88"/>
      <c r="ET122" s="88"/>
    </row>
    <row r="123" spans="139:150" x14ac:dyDescent="0.25">
      <c r="ER123" s="88"/>
      <c r="ES123" s="88"/>
      <c r="ET123" s="88"/>
    </row>
    <row r="124" spans="139:150" x14ac:dyDescent="0.25">
      <c r="EI124" s="107"/>
      <c r="ER124" s="88"/>
      <c r="ES124" s="88"/>
      <c r="ET124" s="88"/>
    </row>
    <row r="125" spans="139:150" x14ac:dyDescent="0.25">
      <c r="EI125" s="128"/>
      <c r="ER125" s="88"/>
      <c r="ES125" s="88"/>
      <c r="ET125" s="88"/>
    </row>
    <row r="126" spans="139:150" x14ac:dyDescent="0.25">
      <c r="EI126" s="128"/>
      <c r="ER126" s="88"/>
      <c r="ES126" s="88"/>
      <c r="ET126" s="88"/>
    </row>
    <row r="127" spans="139:150" x14ac:dyDescent="0.25">
      <c r="EI127" s="128"/>
      <c r="ER127" s="88"/>
      <c r="ES127" s="88"/>
      <c r="ET127" s="88"/>
    </row>
    <row r="128" spans="139:150" x14ac:dyDescent="0.25">
      <c r="ER128" s="88"/>
      <c r="ES128" s="88"/>
      <c r="ET128" s="88"/>
    </row>
    <row r="129" spans="148:150" x14ac:dyDescent="0.25">
      <c r="ER129" s="88"/>
      <c r="ES129" s="88"/>
      <c r="ET129" s="88"/>
    </row>
    <row r="130" spans="148:150" x14ac:dyDescent="0.25">
      <c r="ER130" s="88"/>
      <c r="ES130" s="88"/>
      <c r="ET130" s="88"/>
    </row>
    <row r="131" spans="148:150" x14ac:dyDescent="0.25">
      <c r="ER131" s="88"/>
      <c r="ES131" s="88"/>
      <c r="ET131" s="88"/>
    </row>
    <row r="132" spans="148:150" x14ac:dyDescent="0.25">
      <c r="ER132" s="88"/>
      <c r="ES132" s="88"/>
      <c r="ET132" s="88"/>
    </row>
    <row r="133" spans="148:150" x14ac:dyDescent="0.25">
      <c r="ER133" s="88"/>
      <c r="ES133" s="88"/>
      <c r="ET133" s="88"/>
    </row>
    <row r="134" spans="148:150" x14ac:dyDescent="0.25">
      <c r="ER134" s="88"/>
      <c r="ES134" s="88"/>
      <c r="ET134" s="88"/>
    </row>
    <row r="135" spans="148:150" x14ac:dyDescent="0.25">
      <c r="ER135" s="88"/>
      <c r="ES135" s="88"/>
      <c r="ET135" s="88"/>
    </row>
    <row r="136" spans="148:150" x14ac:dyDescent="0.25">
      <c r="ER136" s="88"/>
      <c r="ES136" s="88"/>
      <c r="ET136" s="88"/>
    </row>
    <row r="137" spans="148:150" x14ac:dyDescent="0.25">
      <c r="ER137" s="88"/>
      <c r="ES137" s="88"/>
      <c r="ET137" s="88"/>
    </row>
    <row r="138" spans="148:150" x14ac:dyDescent="0.25">
      <c r="ER138" s="88"/>
      <c r="ES138" s="88"/>
      <c r="ET138" s="88"/>
    </row>
    <row r="139" spans="148:150" x14ac:dyDescent="0.25">
      <c r="ER139" s="88"/>
      <c r="ES139" s="88"/>
      <c r="ET139" s="88"/>
    </row>
    <row r="140" spans="148:150" x14ac:dyDescent="0.25">
      <c r="ER140" s="88"/>
      <c r="ES140" s="88"/>
      <c r="ET140" s="88"/>
    </row>
    <row r="141" spans="148:150" x14ac:dyDescent="0.25">
      <c r="ER141" s="88"/>
      <c r="ES141" s="88"/>
      <c r="ET141" s="88"/>
    </row>
    <row r="142" spans="148:150" x14ac:dyDescent="0.25">
      <c r="ER142" s="88"/>
      <c r="ES142" s="88"/>
      <c r="ET142" s="8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4"/>
  <sheetViews>
    <sheetView showGridLines="0" showRuler="0" topLeftCell="A33" zoomScaleNormal="100" zoomScalePageLayoutView="130" workbookViewId="0">
      <selection activeCell="A37" sqref="A37"/>
    </sheetView>
  </sheetViews>
  <sheetFormatPr baseColWidth="10" defaultRowHeight="15" x14ac:dyDescent="0.25"/>
  <cols>
    <col min="6" max="6" width="3.42578125" customWidth="1"/>
  </cols>
  <sheetData>
    <row r="1" spans="1:8" x14ac:dyDescent="0.25">
      <c r="A1" s="220" t="s">
        <v>122</v>
      </c>
      <c r="B1" s="220"/>
      <c r="C1" s="220"/>
      <c r="D1" s="220"/>
      <c r="E1" s="220"/>
      <c r="F1" s="220"/>
      <c r="G1" s="220"/>
      <c r="H1" s="220"/>
    </row>
    <row r="2" spans="1:8" x14ac:dyDescent="0.25">
      <c r="A2" s="220"/>
      <c r="B2" s="220"/>
      <c r="C2" s="220"/>
      <c r="D2" s="220"/>
      <c r="E2" s="220"/>
      <c r="F2" s="220"/>
      <c r="G2" s="220"/>
      <c r="H2" s="220"/>
    </row>
    <row r="3" spans="1:8" x14ac:dyDescent="0.25">
      <c r="A3" s="157"/>
      <c r="B3" s="157"/>
      <c r="C3" s="157"/>
      <c r="D3" s="157"/>
      <c r="E3" s="157"/>
      <c r="F3" s="157"/>
      <c r="G3" s="157"/>
      <c r="H3" s="157"/>
    </row>
    <row r="4" spans="1:8" x14ac:dyDescent="0.25">
      <c r="A4" s="222"/>
      <c r="B4" s="222"/>
      <c r="C4" s="222"/>
      <c r="D4" s="222"/>
      <c r="E4" s="222"/>
      <c r="F4" s="222"/>
      <c r="G4" s="222"/>
      <c r="H4" s="222"/>
    </row>
    <row r="5" spans="1:8" x14ac:dyDescent="0.25">
      <c r="A5" s="222"/>
      <c r="B5" s="222"/>
      <c r="C5" s="222"/>
      <c r="D5" s="222"/>
      <c r="E5" s="222"/>
      <c r="F5" s="222"/>
      <c r="G5" s="222"/>
      <c r="H5" s="222"/>
    </row>
    <row r="6" spans="1:8" x14ac:dyDescent="0.25">
      <c r="A6" s="51"/>
      <c r="B6" s="51"/>
      <c r="C6" s="51"/>
      <c r="D6" s="51"/>
      <c r="E6" s="51"/>
      <c r="F6" s="51"/>
      <c r="G6" s="51"/>
      <c r="H6" s="51"/>
    </row>
    <row r="7" spans="1:8" x14ac:dyDescent="0.25">
      <c r="A7" s="51"/>
      <c r="B7" s="51"/>
      <c r="C7" s="51"/>
      <c r="D7" s="51"/>
      <c r="E7" s="51"/>
      <c r="F7" s="51"/>
      <c r="G7" s="51"/>
      <c r="H7" s="51"/>
    </row>
    <row r="8" spans="1:8" x14ac:dyDescent="0.25">
      <c r="A8" s="51"/>
      <c r="B8" s="51"/>
      <c r="C8" s="51"/>
      <c r="D8" s="51"/>
      <c r="E8" s="51"/>
      <c r="F8" s="51"/>
      <c r="G8" s="51"/>
      <c r="H8" s="51"/>
    </row>
    <row r="9" spans="1:8" x14ac:dyDescent="0.25">
      <c r="A9" s="30">
        <v>1</v>
      </c>
      <c r="B9" s="52" t="s">
        <v>123</v>
      </c>
    </row>
    <row r="13" spans="1:8" ht="7.5" customHeight="1" x14ac:dyDescent="0.25"/>
    <row r="14" spans="1:8" x14ac:dyDescent="0.25">
      <c r="A14" s="33">
        <v>2</v>
      </c>
      <c r="B14" s="52" t="s">
        <v>221</v>
      </c>
    </row>
    <row r="18" spans="1:8" x14ac:dyDescent="0.25">
      <c r="B18" s="34"/>
    </row>
    <row r="20" spans="1:8" x14ac:dyDescent="0.25">
      <c r="D20" s="221"/>
      <c r="E20" s="221"/>
      <c r="G20" s="221"/>
      <c r="H20" s="221"/>
    </row>
    <row r="27" spans="1:8" ht="6" customHeight="1" x14ac:dyDescent="0.25"/>
    <row r="28" spans="1:8" x14ac:dyDescent="0.25">
      <c r="A28" s="35">
        <v>3</v>
      </c>
      <c r="B28" s="52" t="s">
        <v>220</v>
      </c>
      <c r="D28" s="48"/>
    </row>
    <row r="32" spans="1:8" ht="12" customHeight="1" x14ac:dyDescent="0.25"/>
    <row r="33" spans="1:8" x14ac:dyDescent="0.25">
      <c r="A33" s="50">
        <v>5</v>
      </c>
      <c r="B33" s="52" t="s">
        <v>113</v>
      </c>
    </row>
    <row r="37" spans="1:8" x14ac:dyDescent="0.25">
      <c r="A37" s="73"/>
      <c r="B37" s="8"/>
    </row>
    <row r="44" spans="1:8" x14ac:dyDescent="0.25">
      <c r="A44" s="219"/>
      <c r="B44" s="219"/>
      <c r="C44" s="219"/>
      <c r="D44" s="219"/>
      <c r="E44" s="219"/>
      <c r="F44" s="219"/>
      <c r="G44" s="219"/>
      <c r="H44" s="219"/>
    </row>
  </sheetData>
  <mergeCells count="6">
    <mergeCell ref="A44:H44"/>
    <mergeCell ref="A1:H2"/>
    <mergeCell ref="D20:E20"/>
    <mergeCell ref="G20:H20"/>
    <mergeCell ref="A4:H4"/>
    <mergeCell ref="A5:H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55"/>
  <sheetViews>
    <sheetView showGridLines="0" topLeftCell="A27" zoomScaleNormal="100" workbookViewId="0">
      <selection activeCell="A38" sqref="A38:B38"/>
    </sheetView>
  </sheetViews>
  <sheetFormatPr baseColWidth="10" defaultRowHeight="15" x14ac:dyDescent="0.25"/>
  <cols>
    <col min="2" max="2" width="8.85546875" customWidth="1"/>
    <col min="3" max="3" width="10.5703125" customWidth="1"/>
    <col min="4" max="4" width="23.42578125" customWidth="1"/>
    <col min="5" max="5" width="10.5703125" customWidth="1"/>
    <col min="6" max="6" width="21.5703125" customWidth="1"/>
  </cols>
  <sheetData>
    <row r="1" spans="1:6" x14ac:dyDescent="0.25">
      <c r="A1" s="195" t="s">
        <v>136</v>
      </c>
      <c r="B1" s="197"/>
      <c r="C1" s="225" t="s">
        <v>132</v>
      </c>
      <c r="D1" s="226"/>
      <c r="E1" s="223" t="s">
        <v>133</v>
      </c>
      <c r="F1" s="224"/>
    </row>
    <row r="2" spans="1:6" x14ac:dyDescent="0.25">
      <c r="A2" s="47"/>
      <c r="B2" s="80"/>
      <c r="C2" s="82"/>
      <c r="D2" s="83"/>
      <c r="E2" s="81"/>
      <c r="F2" s="151"/>
    </row>
    <row r="3" spans="1:6" x14ac:dyDescent="0.25">
      <c r="A3" s="227" t="s">
        <v>135</v>
      </c>
      <c r="B3" s="228"/>
      <c r="C3" s="39"/>
      <c r="D3" s="7"/>
      <c r="E3" s="6"/>
      <c r="F3" s="7"/>
    </row>
    <row r="4" spans="1:6" x14ac:dyDescent="0.25">
      <c r="A4" s="64"/>
      <c r="B4" s="78"/>
      <c r="C4" s="1"/>
      <c r="D4" s="2"/>
      <c r="E4" s="24"/>
      <c r="F4" s="2"/>
    </row>
    <row r="5" spans="1:6" x14ac:dyDescent="0.25">
      <c r="A5" s="211" t="s">
        <v>140</v>
      </c>
      <c r="B5" s="232"/>
      <c r="C5" s="231" t="s">
        <v>137</v>
      </c>
      <c r="D5" s="230"/>
      <c r="E5" s="229" t="s">
        <v>139</v>
      </c>
      <c r="F5" s="230"/>
    </row>
    <row r="6" spans="1:6" x14ac:dyDescent="0.25">
      <c r="A6" s="77"/>
      <c r="B6" s="78"/>
      <c r="C6" s="77"/>
      <c r="D6" s="78"/>
      <c r="E6" s="229" t="s">
        <v>138</v>
      </c>
      <c r="F6" s="230"/>
    </row>
    <row r="7" spans="1:6" x14ac:dyDescent="0.25">
      <c r="A7" s="77"/>
      <c r="B7" s="78"/>
      <c r="C7" s="77"/>
      <c r="D7" s="78"/>
      <c r="E7" s="74"/>
      <c r="F7" s="84"/>
    </row>
    <row r="8" spans="1:6" x14ac:dyDescent="0.25">
      <c r="A8" s="77"/>
      <c r="B8" s="78"/>
      <c r="C8" s="77"/>
      <c r="D8" s="78"/>
      <c r="E8" s="76"/>
      <c r="F8" s="2"/>
    </row>
    <row r="9" spans="1:6" x14ac:dyDescent="0.25">
      <c r="A9" s="211" t="s">
        <v>141</v>
      </c>
      <c r="B9" s="232"/>
      <c r="C9" s="231" t="s">
        <v>142</v>
      </c>
      <c r="D9" s="230"/>
      <c r="E9" s="229" t="s">
        <v>144</v>
      </c>
      <c r="F9" s="230"/>
    </row>
    <row r="10" spans="1:6" x14ac:dyDescent="0.25">
      <c r="A10" s="77"/>
      <c r="B10" s="78"/>
      <c r="C10" s="231" t="s">
        <v>143</v>
      </c>
      <c r="D10" s="230"/>
      <c r="E10" s="76"/>
      <c r="F10" s="2"/>
    </row>
    <row r="11" spans="1:6" x14ac:dyDescent="0.25">
      <c r="A11" s="213"/>
      <c r="B11" s="233"/>
      <c r="C11" s="86"/>
      <c r="D11" s="87"/>
      <c r="E11" s="57"/>
      <c r="F11" s="5"/>
    </row>
    <row r="12" spans="1:6" x14ac:dyDescent="0.25">
      <c r="A12" s="227" t="s">
        <v>145</v>
      </c>
      <c r="B12" s="234"/>
      <c r="C12" s="58"/>
      <c r="D12" s="59"/>
      <c r="E12" s="60"/>
      <c r="F12" s="7"/>
    </row>
    <row r="13" spans="1:6" x14ac:dyDescent="0.25">
      <c r="A13" s="64"/>
      <c r="B13" s="65"/>
      <c r="C13" s="42"/>
      <c r="D13" s="46"/>
      <c r="E13" s="25"/>
      <c r="F13" s="2"/>
    </row>
    <row r="14" spans="1:6" x14ac:dyDescent="0.25">
      <c r="A14" s="211" t="s">
        <v>179</v>
      </c>
      <c r="B14" s="232"/>
      <c r="C14" s="231" t="s">
        <v>146</v>
      </c>
      <c r="D14" s="230"/>
      <c r="E14" s="229" t="s">
        <v>144</v>
      </c>
      <c r="F14" s="230"/>
    </row>
    <row r="15" spans="1:6" x14ac:dyDescent="0.25">
      <c r="A15" s="44"/>
      <c r="B15" s="45"/>
      <c r="C15" s="231" t="s">
        <v>226</v>
      </c>
      <c r="D15" s="230"/>
      <c r="E15" s="229" t="s">
        <v>227</v>
      </c>
      <c r="F15" s="230"/>
    </row>
    <row r="16" spans="1:6" x14ac:dyDescent="0.25">
      <c r="A16" s="44"/>
      <c r="B16" s="45"/>
      <c r="C16" s="231" t="s">
        <v>147</v>
      </c>
      <c r="D16" s="230"/>
      <c r="E16" s="61"/>
      <c r="F16" s="2"/>
    </row>
    <row r="17" spans="1:6" x14ac:dyDescent="0.25">
      <c r="A17" s="44"/>
      <c r="B17" s="45"/>
      <c r="C17" s="63"/>
      <c r="D17" s="62"/>
      <c r="E17" s="61"/>
      <c r="F17" s="2"/>
    </row>
    <row r="18" spans="1:6" x14ac:dyDescent="0.25">
      <c r="A18" s="44"/>
      <c r="B18" s="45"/>
      <c r="C18" s="44"/>
      <c r="D18" s="45"/>
      <c r="E18" s="61"/>
      <c r="F18" s="2"/>
    </row>
    <row r="19" spans="1:6" x14ac:dyDescent="0.25">
      <c r="A19" s="211" t="s">
        <v>152</v>
      </c>
      <c r="B19" s="232"/>
      <c r="C19" s="231" t="s">
        <v>148</v>
      </c>
      <c r="D19" s="230"/>
      <c r="E19" s="229" t="s">
        <v>151</v>
      </c>
      <c r="F19" s="230"/>
    </row>
    <row r="20" spans="1:6" x14ac:dyDescent="0.25">
      <c r="A20" s="44"/>
      <c r="B20" s="45"/>
      <c r="C20" s="231" t="s">
        <v>149</v>
      </c>
      <c r="D20" s="230"/>
      <c r="E20" s="229" t="s">
        <v>150</v>
      </c>
      <c r="F20" s="230"/>
    </row>
    <row r="21" spans="1:6" x14ac:dyDescent="0.25">
      <c r="A21" s="44"/>
      <c r="B21" s="45"/>
      <c r="C21" s="231" t="s">
        <v>160</v>
      </c>
      <c r="D21" s="230"/>
      <c r="E21" s="61"/>
      <c r="F21" s="2"/>
    </row>
    <row r="22" spans="1:6" x14ac:dyDescent="0.25">
      <c r="A22" s="3"/>
      <c r="B22" s="5"/>
      <c r="C22" s="3"/>
      <c r="D22" s="5"/>
      <c r="E22" s="24"/>
      <c r="F22" s="2"/>
    </row>
    <row r="23" spans="1:6" x14ac:dyDescent="0.25">
      <c r="A23" s="235" t="s">
        <v>134</v>
      </c>
      <c r="B23" s="236"/>
      <c r="C23" s="39"/>
      <c r="D23" s="6"/>
      <c r="E23" s="237"/>
      <c r="F23" s="210"/>
    </row>
    <row r="24" spans="1:6" x14ac:dyDescent="0.25">
      <c r="A24" s="25"/>
      <c r="B24" s="46"/>
      <c r="C24" s="77"/>
      <c r="D24" s="76"/>
      <c r="E24" s="1"/>
      <c r="F24" s="2"/>
    </row>
    <row r="25" spans="1:6" x14ac:dyDescent="0.25">
      <c r="A25" s="212" t="s">
        <v>180</v>
      </c>
      <c r="B25" s="232"/>
      <c r="C25" s="231" t="s">
        <v>155</v>
      </c>
      <c r="D25" s="229"/>
      <c r="E25" s="231" t="s">
        <v>153</v>
      </c>
      <c r="F25" s="230"/>
    </row>
    <row r="26" spans="1:6" x14ac:dyDescent="0.25">
      <c r="A26" s="25"/>
      <c r="B26" s="46"/>
      <c r="C26" s="238" t="s">
        <v>178</v>
      </c>
      <c r="D26" s="239"/>
      <c r="E26" s="231" t="s">
        <v>154</v>
      </c>
      <c r="F26" s="230"/>
    </row>
    <row r="27" spans="1:6" x14ac:dyDescent="0.25">
      <c r="A27" s="25"/>
      <c r="B27" s="46"/>
      <c r="C27" s="77"/>
      <c r="D27" s="76"/>
      <c r="E27" s="85"/>
      <c r="F27" s="84"/>
    </row>
    <row r="28" spans="1:6" x14ac:dyDescent="0.25">
      <c r="A28" s="212" t="s">
        <v>181</v>
      </c>
      <c r="B28" s="232"/>
      <c r="C28" s="231" t="s">
        <v>182</v>
      </c>
      <c r="D28" s="229"/>
      <c r="E28" s="231" t="s">
        <v>158</v>
      </c>
      <c r="F28" s="230"/>
    </row>
    <row r="29" spans="1:6" x14ac:dyDescent="0.25">
      <c r="A29" s="25"/>
      <c r="B29" s="46"/>
      <c r="C29" s="231" t="s">
        <v>156</v>
      </c>
      <c r="D29" s="229"/>
      <c r="E29" s="231" t="s">
        <v>159</v>
      </c>
      <c r="F29" s="230"/>
    </row>
    <row r="30" spans="1:6" x14ac:dyDescent="0.25">
      <c r="A30" s="25"/>
      <c r="B30" s="46"/>
      <c r="C30" s="231" t="s">
        <v>225</v>
      </c>
      <c r="D30" s="229"/>
      <c r="E30" s="231" t="s">
        <v>157</v>
      </c>
      <c r="F30" s="230"/>
    </row>
    <row r="31" spans="1:6" x14ac:dyDescent="0.25">
      <c r="A31" s="24"/>
      <c r="B31" s="2"/>
      <c r="C31" s="3"/>
      <c r="D31" s="4"/>
      <c r="E31" s="3"/>
      <c r="F31" s="5"/>
    </row>
    <row r="32" spans="1:6" x14ac:dyDescent="0.25">
      <c r="A32" s="227" t="s">
        <v>26</v>
      </c>
      <c r="B32" s="234"/>
      <c r="C32" s="67"/>
      <c r="D32" s="66"/>
      <c r="E32" s="1"/>
      <c r="F32" s="2"/>
    </row>
    <row r="33" spans="1:6" x14ac:dyDescent="0.25">
      <c r="A33" s="44"/>
      <c r="B33" s="45"/>
      <c r="C33" s="231" t="s">
        <v>186</v>
      </c>
      <c r="D33" s="230"/>
      <c r="E33" s="231" t="s">
        <v>183</v>
      </c>
      <c r="F33" s="230"/>
    </row>
    <row r="34" spans="1:6" x14ac:dyDescent="0.25">
      <c r="A34" s="44"/>
      <c r="B34" s="45"/>
      <c r="C34" s="231" t="s">
        <v>187</v>
      </c>
      <c r="D34" s="230"/>
      <c r="E34" s="231" t="s">
        <v>184</v>
      </c>
      <c r="F34" s="230"/>
    </row>
    <row r="35" spans="1:6" x14ac:dyDescent="0.25">
      <c r="A35" s="44"/>
      <c r="B35" s="45"/>
      <c r="C35" s="231" t="s">
        <v>222</v>
      </c>
      <c r="D35" s="230"/>
      <c r="E35" s="231" t="s">
        <v>185</v>
      </c>
      <c r="F35" s="230"/>
    </row>
    <row r="36" spans="1:6" x14ac:dyDescent="0.25">
      <c r="A36" s="44"/>
      <c r="B36" s="45"/>
      <c r="C36" s="231" t="s">
        <v>223</v>
      </c>
      <c r="D36" s="230"/>
      <c r="E36" s="231" t="s">
        <v>224</v>
      </c>
      <c r="F36" s="230"/>
    </row>
    <row r="37" spans="1:6" x14ac:dyDescent="0.25">
      <c r="A37" s="44"/>
      <c r="B37" s="45"/>
      <c r="C37" s="68"/>
      <c r="D37" s="69"/>
      <c r="E37" s="152"/>
      <c r="F37" s="153"/>
    </row>
    <row r="38" spans="1:6" x14ac:dyDescent="0.25">
      <c r="A38" s="227" t="s">
        <v>33</v>
      </c>
      <c r="B38" s="234"/>
      <c r="C38" s="70"/>
      <c r="D38" s="71"/>
      <c r="E38" s="72"/>
      <c r="F38" s="71"/>
    </row>
    <row r="39" spans="1:6" x14ac:dyDescent="0.25">
      <c r="A39" s="44"/>
      <c r="B39" s="45"/>
      <c r="C39" s="231" t="s">
        <v>188</v>
      </c>
      <c r="D39" s="230"/>
      <c r="E39" s="231" t="s">
        <v>189</v>
      </c>
      <c r="F39" s="230"/>
    </row>
    <row r="40" spans="1:6" x14ac:dyDescent="0.25">
      <c r="A40" s="44"/>
      <c r="B40" s="45"/>
      <c r="C40" s="68"/>
      <c r="D40" s="69"/>
      <c r="E40" s="231" t="s">
        <v>191</v>
      </c>
      <c r="F40" s="230"/>
    </row>
    <row r="41" spans="1:6" x14ac:dyDescent="0.25">
      <c r="A41" s="44"/>
      <c r="B41" s="45"/>
      <c r="C41" s="68"/>
      <c r="D41" s="69"/>
      <c r="E41" s="231" t="s">
        <v>190</v>
      </c>
      <c r="F41" s="230"/>
    </row>
    <row r="42" spans="1:6" x14ac:dyDescent="0.25">
      <c r="A42" s="44"/>
      <c r="B42" s="45"/>
      <c r="C42" s="68"/>
      <c r="D42" s="69"/>
      <c r="E42" s="61"/>
      <c r="F42" s="69"/>
    </row>
    <row r="43" spans="1:6" x14ac:dyDescent="0.25">
      <c r="A43" s="227" t="s">
        <v>35</v>
      </c>
      <c r="B43" s="234"/>
      <c r="C43" s="70"/>
      <c r="D43" s="71"/>
      <c r="E43" s="72"/>
      <c r="F43" s="71"/>
    </row>
    <row r="44" spans="1:6" x14ac:dyDescent="0.25">
      <c r="A44" s="1"/>
      <c r="B44" s="2"/>
      <c r="C44" s="231" t="s">
        <v>192</v>
      </c>
      <c r="D44" s="230"/>
      <c r="E44" s="229" t="s">
        <v>193</v>
      </c>
      <c r="F44" s="230"/>
    </row>
    <row r="45" spans="1:6" x14ac:dyDescent="0.25">
      <c r="A45" s="1"/>
      <c r="B45" s="2"/>
      <c r="C45" s="68"/>
      <c r="D45" s="69"/>
      <c r="E45" s="229" t="s">
        <v>194</v>
      </c>
      <c r="F45" s="230"/>
    </row>
    <row r="46" spans="1:6" x14ac:dyDescent="0.25">
      <c r="A46" s="3"/>
      <c r="B46" s="5"/>
      <c r="C46" s="156"/>
      <c r="D46" s="155"/>
      <c r="E46" s="154"/>
      <c r="F46" s="155"/>
    </row>
    <row r="47" spans="1:6" x14ac:dyDescent="0.25">
      <c r="A47" s="24"/>
      <c r="B47" s="24"/>
      <c r="C47" s="24"/>
      <c r="D47" s="24"/>
      <c r="E47" s="24"/>
      <c r="F47" s="24"/>
    </row>
    <row r="48" spans="1:6" x14ac:dyDescent="0.25">
      <c r="A48" s="24"/>
      <c r="B48" s="24"/>
      <c r="C48" s="24"/>
      <c r="D48" s="24"/>
      <c r="E48" s="24"/>
      <c r="F48" s="24"/>
    </row>
    <row r="49" spans="1:7" x14ac:dyDescent="0.25">
      <c r="A49" s="24"/>
      <c r="B49" s="24"/>
      <c r="C49" s="24"/>
      <c r="D49" s="24"/>
      <c r="E49" s="24"/>
      <c r="F49" s="24"/>
      <c r="G49" s="24"/>
    </row>
    <row r="50" spans="1:7" x14ac:dyDescent="0.25">
      <c r="A50" s="24"/>
      <c r="B50" s="24"/>
      <c r="C50" s="24"/>
      <c r="D50" s="24"/>
      <c r="E50" s="24"/>
      <c r="F50" s="24"/>
      <c r="G50" s="24"/>
    </row>
    <row r="51" spans="1:7" x14ac:dyDescent="0.25">
      <c r="A51" s="24"/>
      <c r="B51" s="24"/>
      <c r="C51" s="24"/>
      <c r="D51" s="24"/>
      <c r="E51" s="24"/>
      <c r="F51" s="24"/>
      <c r="G51" s="24"/>
    </row>
    <row r="52" spans="1:7" x14ac:dyDescent="0.25">
      <c r="A52" s="24"/>
      <c r="B52" s="24"/>
      <c r="C52" s="24"/>
      <c r="D52" s="24"/>
      <c r="E52" s="24"/>
      <c r="F52" s="24"/>
      <c r="G52" s="24"/>
    </row>
    <row r="53" spans="1:7" x14ac:dyDescent="0.25">
      <c r="A53" s="24"/>
      <c r="B53" s="24"/>
      <c r="C53" s="24"/>
      <c r="D53" s="24"/>
      <c r="E53" s="24"/>
      <c r="F53" s="24"/>
      <c r="G53" s="24"/>
    </row>
    <row r="54" spans="1:7" x14ac:dyDescent="0.25">
      <c r="A54" s="24"/>
      <c r="B54" s="24"/>
      <c r="C54" s="24"/>
      <c r="D54" s="24"/>
      <c r="E54" s="24"/>
      <c r="F54" s="24"/>
      <c r="G54" s="24"/>
    </row>
    <row r="55" spans="1:7" x14ac:dyDescent="0.25">
      <c r="A55" s="24"/>
      <c r="B55" s="24"/>
      <c r="C55" s="24"/>
      <c r="D55" s="24"/>
      <c r="E55" s="24"/>
    </row>
  </sheetData>
  <mergeCells count="58">
    <mergeCell ref="E44:F44"/>
    <mergeCell ref="E45:F45"/>
    <mergeCell ref="A38:B38"/>
    <mergeCell ref="C39:D39"/>
    <mergeCell ref="E39:F39"/>
    <mergeCell ref="E40:F40"/>
    <mergeCell ref="E41:F41"/>
    <mergeCell ref="A43:B43"/>
    <mergeCell ref="C44:D44"/>
    <mergeCell ref="E33:F33"/>
    <mergeCell ref="E35:F35"/>
    <mergeCell ref="E34:F34"/>
    <mergeCell ref="E36:F36"/>
    <mergeCell ref="C33:D33"/>
    <mergeCell ref="C34:D34"/>
    <mergeCell ref="C35:D35"/>
    <mergeCell ref="C36:D36"/>
    <mergeCell ref="E29:F29"/>
    <mergeCell ref="E30:F30"/>
    <mergeCell ref="C29:D29"/>
    <mergeCell ref="C30:D30"/>
    <mergeCell ref="A32:B32"/>
    <mergeCell ref="E14:F14"/>
    <mergeCell ref="E15:F15"/>
    <mergeCell ref="E19:F19"/>
    <mergeCell ref="E20:F20"/>
    <mergeCell ref="C19:D19"/>
    <mergeCell ref="C15:D15"/>
    <mergeCell ref="C16:D16"/>
    <mergeCell ref="E26:F26"/>
    <mergeCell ref="C26:D26"/>
    <mergeCell ref="C25:D25"/>
    <mergeCell ref="A25:B25"/>
    <mergeCell ref="A28:B28"/>
    <mergeCell ref="C28:D28"/>
    <mergeCell ref="E28:F28"/>
    <mergeCell ref="A23:B23"/>
    <mergeCell ref="E23:F23"/>
    <mergeCell ref="E25:F25"/>
    <mergeCell ref="C20:D20"/>
    <mergeCell ref="C21:D21"/>
    <mergeCell ref="A11:B11"/>
    <mergeCell ref="A12:B12"/>
    <mergeCell ref="A14:B14"/>
    <mergeCell ref="C14:D14"/>
    <mergeCell ref="A19:B19"/>
    <mergeCell ref="E6:F6"/>
    <mergeCell ref="A9:B9"/>
    <mergeCell ref="C9:D9"/>
    <mergeCell ref="C10:D10"/>
    <mergeCell ref="E9:F9"/>
    <mergeCell ref="A1:B1"/>
    <mergeCell ref="E1:F1"/>
    <mergeCell ref="C1:D1"/>
    <mergeCell ref="A3:B3"/>
    <mergeCell ref="E5:F5"/>
    <mergeCell ref="C5:D5"/>
    <mergeCell ref="A5:B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Calculette</vt:lpstr>
      <vt:lpstr>CF</vt:lpstr>
      <vt:lpstr>Mode d'emploi</vt:lpstr>
      <vt:lpstr>Annexe</vt:lpstr>
      <vt:lpstr>Calculette!Zone_d_impression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Chloé FIVET</dc:creator>
  <cp:keywords/>
  <dc:description/>
  <cp:lastModifiedBy>Vincent SERVAIS</cp:lastModifiedBy>
  <cp:revision/>
  <cp:lastPrinted>2022-04-08T11:48:16Z</cp:lastPrinted>
  <dcterms:created xsi:type="dcterms:W3CDTF">2022-02-16T13:17:55Z</dcterms:created>
  <dcterms:modified xsi:type="dcterms:W3CDTF">2022-04-13T07:02:24Z</dcterms:modified>
  <cp:category/>
  <cp:contentStatus/>
</cp:coreProperties>
</file>